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120" yWindow="300" windowWidth="26040" windowHeight="16160"/>
  </bookViews>
  <sheets>
    <sheet name="Introduction" sheetId="13" r:id="rId1"/>
    <sheet name="timing" sheetId="12" r:id="rId2"/>
    <sheet name="original data" sheetId="6"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39" i="12" l="1"/>
  <c r="U39" i="12"/>
  <c r="F68" i="12"/>
  <c r="S40" i="12"/>
  <c r="U40" i="12"/>
  <c r="F69" i="12"/>
  <c r="S41" i="12"/>
  <c r="U41" i="12"/>
  <c r="F70" i="12"/>
  <c r="S42" i="12"/>
  <c r="U42" i="12"/>
  <c r="F71" i="12"/>
  <c r="S43" i="12"/>
  <c r="U43" i="12"/>
  <c r="F72" i="12"/>
  <c r="S44" i="12"/>
  <c r="U44" i="12"/>
  <c r="F73" i="12"/>
  <c r="S45" i="12"/>
  <c r="U45" i="12"/>
  <c r="F74" i="12"/>
  <c r="S46" i="12"/>
  <c r="U46" i="12"/>
  <c r="F75" i="12"/>
  <c r="S38" i="12"/>
  <c r="U38" i="12"/>
  <c r="F67" i="12"/>
  <c r="B68" i="12"/>
  <c r="B69" i="12"/>
  <c r="B70" i="12"/>
  <c r="B71" i="12"/>
  <c r="B72" i="12"/>
  <c r="B73" i="12"/>
  <c r="B74" i="12"/>
  <c r="B75" i="12"/>
  <c r="B54" i="12"/>
  <c r="B55" i="12"/>
  <c r="B56" i="12"/>
  <c r="B57" i="12"/>
  <c r="B58" i="12"/>
  <c r="B59" i="12"/>
  <c r="B60" i="12"/>
  <c r="B61" i="12"/>
  <c r="P38" i="12"/>
  <c r="C67" i="12"/>
  <c r="B14" i="12"/>
  <c r="B15" i="12"/>
  <c r="B16" i="12"/>
  <c r="B17" i="12"/>
  <c r="B18" i="12"/>
  <c r="B19" i="12"/>
  <c r="B20" i="12"/>
  <c r="B21" i="12"/>
  <c r="B22" i="12"/>
  <c r="B23" i="12"/>
  <c r="B24" i="12"/>
  <c r="B25" i="12"/>
  <c r="B26" i="12"/>
  <c r="B27" i="12"/>
  <c r="B33" i="12"/>
  <c r="B34" i="12"/>
  <c r="B35" i="12"/>
  <c r="B36" i="12"/>
  <c r="B37" i="12"/>
  <c r="B38" i="12"/>
  <c r="B39" i="12"/>
  <c r="B40" i="12"/>
  <c r="B41" i="12"/>
  <c r="B42" i="12"/>
  <c r="B43" i="12"/>
  <c r="B44" i="12"/>
  <c r="B45" i="12"/>
  <c r="B46" i="12"/>
  <c r="C14" i="12"/>
  <c r="D14" i="12"/>
  <c r="C15" i="12"/>
  <c r="D15" i="12"/>
  <c r="C16" i="12"/>
  <c r="D16" i="12"/>
  <c r="C17" i="12"/>
  <c r="D17" i="12"/>
  <c r="C18" i="12"/>
  <c r="D18" i="12"/>
  <c r="L19" i="12"/>
  <c r="M19" i="12"/>
  <c r="C33" i="12"/>
  <c r="D33" i="12"/>
  <c r="L39" i="12"/>
  <c r="M39" i="12"/>
  <c r="H19" i="12"/>
  <c r="J19" i="12"/>
  <c r="K19" i="12"/>
  <c r="C34" i="12"/>
  <c r="D34" i="12"/>
  <c r="P55" i="12"/>
  <c r="P56" i="12"/>
  <c r="P57" i="12"/>
  <c r="P58" i="12"/>
  <c r="P59" i="12"/>
  <c r="P60" i="12"/>
  <c r="P61" i="12"/>
  <c r="P54" i="12"/>
  <c r="O54" i="12"/>
  <c r="O55" i="12"/>
  <c r="O56" i="12"/>
  <c r="O57" i="12"/>
  <c r="O58" i="12"/>
  <c r="O59" i="12"/>
  <c r="O60" i="12"/>
  <c r="O61" i="12"/>
  <c r="R34" i="12"/>
  <c r="R35" i="12"/>
  <c r="R36" i="12"/>
  <c r="R37" i="12"/>
  <c r="R33" i="12"/>
  <c r="O33" i="12"/>
  <c r="O34" i="12"/>
  <c r="O35" i="12"/>
  <c r="O36" i="12"/>
  <c r="O37" i="12"/>
  <c r="O38" i="12"/>
  <c r="O39" i="12"/>
  <c r="O40" i="12"/>
  <c r="O41" i="12"/>
  <c r="O42" i="12"/>
  <c r="O43" i="12"/>
  <c r="O44" i="12"/>
  <c r="O45" i="12"/>
  <c r="O46" i="12"/>
  <c r="S27" i="12"/>
  <c r="U27" i="12"/>
  <c r="F61" i="12"/>
  <c r="S26" i="12"/>
  <c r="U26" i="12"/>
  <c r="F60" i="12"/>
  <c r="S25" i="12"/>
  <c r="U25" i="12"/>
  <c r="F59" i="12"/>
  <c r="S24" i="12"/>
  <c r="U24" i="12"/>
  <c r="F58" i="12"/>
  <c r="S23" i="12"/>
  <c r="U23" i="12"/>
  <c r="F57" i="12"/>
  <c r="S22" i="12"/>
  <c r="U22" i="12"/>
  <c r="F56" i="12"/>
  <c r="S21" i="12"/>
  <c r="U21" i="12"/>
  <c r="F55" i="12"/>
  <c r="S20" i="12"/>
  <c r="U20" i="12"/>
  <c r="F54" i="12"/>
  <c r="S19" i="12"/>
  <c r="U19" i="12"/>
  <c r="F53" i="12"/>
  <c r="O14" i="12"/>
  <c r="O15" i="12"/>
  <c r="O16" i="12"/>
  <c r="O17" i="12"/>
  <c r="O18" i="12"/>
  <c r="O19" i="12"/>
  <c r="O20" i="12"/>
  <c r="O21" i="12"/>
  <c r="O22" i="12"/>
  <c r="O23" i="12"/>
  <c r="O24" i="12"/>
  <c r="O25" i="12"/>
  <c r="O26" i="12"/>
  <c r="O27" i="12"/>
  <c r="F19" i="12"/>
  <c r="G19" i="12"/>
  <c r="L20" i="12"/>
  <c r="M20" i="12"/>
  <c r="C19" i="12"/>
  <c r="D19" i="12"/>
  <c r="I19" i="12"/>
  <c r="C35" i="12"/>
  <c r="D35" i="12"/>
  <c r="Q61" i="12"/>
  <c r="R61" i="12"/>
  <c r="Q56" i="12"/>
  <c r="R56" i="12"/>
  <c r="Q57" i="12"/>
  <c r="R57" i="12"/>
  <c r="Q54" i="12"/>
  <c r="R54" i="12"/>
  <c r="Q58" i="12"/>
  <c r="R58" i="12"/>
  <c r="Q55" i="12"/>
  <c r="R55" i="12"/>
  <c r="Q59" i="12"/>
  <c r="R59" i="12"/>
  <c r="Q60" i="12"/>
  <c r="R60" i="12"/>
  <c r="Q53" i="12"/>
  <c r="R53" i="12"/>
  <c r="R14" i="12"/>
  <c r="R15" i="12"/>
  <c r="J20" i="12"/>
  <c r="K20" i="12"/>
  <c r="H20" i="12"/>
  <c r="C36" i="12"/>
  <c r="D36" i="12"/>
  <c r="R16" i="12"/>
  <c r="R62" i="12"/>
  <c r="C20" i="12"/>
  <c r="D20" i="12"/>
  <c r="I20" i="12"/>
  <c r="F20" i="12"/>
  <c r="G20" i="12"/>
  <c r="J21" i="12"/>
  <c r="K21" i="12"/>
  <c r="C37" i="12"/>
  <c r="D37" i="12"/>
  <c r="R17" i="12"/>
  <c r="Q19" i="12"/>
  <c r="D53" i="12"/>
  <c r="Q38" i="12"/>
  <c r="G5" i="6"/>
  <c r="G6" i="6"/>
  <c r="G7" i="6"/>
  <c r="G8" i="6"/>
  <c r="G9" i="6"/>
  <c r="G10" i="6"/>
  <c r="G11" i="6"/>
  <c r="G12" i="6"/>
  <c r="G13" i="6"/>
  <c r="G14" i="6"/>
  <c r="G15" i="6"/>
  <c r="G16" i="6"/>
  <c r="G17" i="6"/>
  <c r="G18" i="6"/>
  <c r="G19" i="6"/>
  <c r="G20" i="6"/>
  <c r="G21" i="6"/>
  <c r="G22" i="6"/>
  <c r="G23" i="6"/>
  <c r="G24" i="6"/>
  <c r="G25" i="6"/>
  <c r="G26" i="6"/>
  <c r="G27" i="6"/>
  <c r="G4" i="6"/>
  <c r="R38" i="12"/>
  <c r="V38" i="12"/>
  <c r="D67" i="12"/>
  <c r="E67" i="12"/>
  <c r="G67" i="12"/>
  <c r="L21" i="12"/>
  <c r="M21" i="12"/>
  <c r="H21" i="12"/>
  <c r="I21" i="12"/>
  <c r="C38" i="12"/>
  <c r="R18" i="12"/>
  <c r="F21" i="12"/>
  <c r="G21" i="12"/>
  <c r="L22" i="12"/>
  <c r="M22" i="12"/>
  <c r="C21" i="12"/>
  <c r="D21" i="12"/>
  <c r="D38" i="12"/>
  <c r="J22" i="12"/>
  <c r="K22" i="12"/>
  <c r="H22" i="12"/>
  <c r="Q39" i="12"/>
  <c r="D68" i="12"/>
  <c r="Q20" i="12"/>
  <c r="D54" i="12"/>
  <c r="H39" i="12"/>
  <c r="C39" i="12"/>
  <c r="D39" i="12"/>
  <c r="J39" i="12"/>
  <c r="K39" i="12"/>
  <c r="P19" i="12"/>
  <c r="I22" i="12"/>
  <c r="C22" i="12"/>
  <c r="D22" i="12"/>
  <c r="F22" i="12"/>
  <c r="G22" i="12"/>
  <c r="R19" i="12"/>
  <c r="V19" i="12"/>
  <c r="C53" i="12"/>
  <c r="E53" i="12"/>
  <c r="G53" i="12"/>
  <c r="I39" i="12"/>
  <c r="F39" i="12"/>
  <c r="G39" i="12"/>
  <c r="J40" i="12"/>
  <c r="K40" i="12"/>
  <c r="P20" i="12"/>
  <c r="J23" i="12"/>
  <c r="K23" i="12"/>
  <c r="H23" i="12"/>
  <c r="L23" i="12"/>
  <c r="M23" i="12"/>
  <c r="Q21" i="12"/>
  <c r="D55" i="12"/>
  <c r="Q40" i="12"/>
  <c r="D69" i="12"/>
  <c r="R20" i="12"/>
  <c r="V20" i="12"/>
  <c r="C54" i="12"/>
  <c r="E54" i="12"/>
  <c r="G54" i="12"/>
  <c r="H40" i="12"/>
  <c r="I40" i="12"/>
  <c r="P39" i="12"/>
  <c r="L40" i="12"/>
  <c r="M40" i="12"/>
  <c r="F23" i="12"/>
  <c r="G23" i="12"/>
  <c r="I23" i="12"/>
  <c r="C23" i="12"/>
  <c r="D23" i="12"/>
  <c r="F40" i="12"/>
  <c r="G40" i="12"/>
  <c r="L41" i="12"/>
  <c r="M41" i="12"/>
  <c r="R39" i="12"/>
  <c r="V39" i="12"/>
  <c r="C68" i="12"/>
  <c r="E68" i="12"/>
  <c r="G68" i="12"/>
  <c r="C40" i="12"/>
  <c r="D40" i="12"/>
  <c r="L24" i="12"/>
  <c r="M24" i="12"/>
  <c r="J24" i="12"/>
  <c r="K24" i="12"/>
  <c r="H24" i="12"/>
  <c r="Q22" i="12"/>
  <c r="D56" i="12"/>
  <c r="Q41" i="12"/>
  <c r="D70" i="12"/>
  <c r="P40" i="12"/>
  <c r="R40" i="12"/>
  <c r="V40" i="12"/>
  <c r="H41" i="12"/>
  <c r="C41" i="12"/>
  <c r="D41" i="12"/>
  <c r="P22" i="12"/>
  <c r="J41" i="12"/>
  <c r="K41" i="12"/>
  <c r="P21" i="12"/>
  <c r="I24" i="12"/>
  <c r="C24" i="12"/>
  <c r="D24" i="12"/>
  <c r="F24" i="12"/>
  <c r="G24" i="12"/>
  <c r="C69" i="12"/>
  <c r="E69" i="12"/>
  <c r="G69" i="12"/>
  <c r="R21" i="12"/>
  <c r="V21" i="12"/>
  <c r="C55" i="12"/>
  <c r="E55" i="12"/>
  <c r="G55" i="12"/>
  <c r="R22" i="12"/>
  <c r="V22" i="12"/>
  <c r="C56" i="12"/>
  <c r="E56" i="12"/>
  <c r="G56" i="12"/>
  <c r="F41" i="12"/>
  <c r="G41" i="12"/>
  <c r="L42" i="12"/>
  <c r="M42" i="12"/>
  <c r="I41" i="12"/>
  <c r="P41" i="12"/>
  <c r="L25" i="12"/>
  <c r="M25" i="12"/>
  <c r="J25" i="12"/>
  <c r="K25" i="12"/>
  <c r="H25" i="12"/>
  <c r="Q23" i="12"/>
  <c r="D57" i="12"/>
  <c r="Q42" i="12"/>
  <c r="D71" i="12"/>
  <c r="R41" i="12"/>
  <c r="V41" i="12"/>
  <c r="C70" i="12"/>
  <c r="E70" i="12"/>
  <c r="G70" i="12"/>
  <c r="J42" i="12"/>
  <c r="K42" i="12"/>
  <c r="H42" i="12"/>
  <c r="C42" i="12"/>
  <c r="D42" i="12"/>
  <c r="F25" i="12"/>
  <c r="G25" i="12"/>
  <c r="I25" i="12"/>
  <c r="C25" i="12"/>
  <c r="D25" i="12"/>
  <c r="F42" i="12"/>
  <c r="G42" i="12"/>
  <c r="L43" i="12"/>
  <c r="M43" i="12"/>
  <c r="P42" i="12"/>
  <c r="I42" i="12"/>
  <c r="J26" i="12"/>
  <c r="K26" i="12"/>
  <c r="H26" i="12"/>
  <c r="L26" i="12"/>
  <c r="M26" i="12"/>
  <c r="P23" i="12"/>
  <c r="Q24" i="12"/>
  <c r="D58" i="12"/>
  <c r="Q43" i="12"/>
  <c r="D72" i="12"/>
  <c r="H43" i="12"/>
  <c r="I43" i="12"/>
  <c r="C43" i="12"/>
  <c r="D43" i="12"/>
  <c r="P24" i="12"/>
  <c r="R42" i="12"/>
  <c r="V42" i="12"/>
  <c r="C71" i="12"/>
  <c r="E71" i="12"/>
  <c r="G71" i="12"/>
  <c r="R23" i="12"/>
  <c r="V23" i="12"/>
  <c r="C57" i="12"/>
  <c r="E57" i="12"/>
  <c r="G57" i="12"/>
  <c r="J43" i="12"/>
  <c r="K43" i="12"/>
  <c r="I26" i="12"/>
  <c r="F26" i="12"/>
  <c r="G26" i="12"/>
  <c r="C26" i="12"/>
  <c r="D26" i="12"/>
  <c r="R24" i="12"/>
  <c r="V24" i="12"/>
  <c r="C58" i="12"/>
  <c r="E58" i="12"/>
  <c r="G58" i="12"/>
  <c r="F43" i="12"/>
  <c r="G43" i="12"/>
  <c r="P43" i="12"/>
  <c r="L27" i="12"/>
  <c r="M27" i="12"/>
  <c r="J27" i="12"/>
  <c r="K27" i="12"/>
  <c r="H27" i="12"/>
  <c r="I27" i="12"/>
  <c r="Q25" i="12"/>
  <c r="D59" i="12"/>
  <c r="Q44" i="12"/>
  <c r="D73" i="12"/>
  <c r="J44" i="12"/>
  <c r="K44" i="12"/>
  <c r="R43" i="12"/>
  <c r="V43" i="12"/>
  <c r="C72" i="12"/>
  <c r="E72" i="12"/>
  <c r="G72" i="12"/>
  <c r="L44" i="12"/>
  <c r="M44" i="12"/>
  <c r="H44" i="12"/>
  <c r="F44" i="12"/>
  <c r="G44" i="12"/>
  <c r="F27" i="12"/>
  <c r="G27" i="12"/>
  <c r="C27" i="12"/>
  <c r="D27" i="12"/>
  <c r="C44" i="12"/>
  <c r="D44" i="12"/>
  <c r="I44" i="12"/>
  <c r="H45" i="12"/>
  <c r="L45" i="12"/>
  <c r="M45" i="12"/>
  <c r="P44" i="12"/>
  <c r="Q26" i="12"/>
  <c r="D60" i="12"/>
  <c r="Q45" i="12"/>
  <c r="D74" i="12"/>
  <c r="C45" i="12"/>
  <c r="D45" i="12"/>
  <c r="J45" i="12"/>
  <c r="K45" i="12"/>
  <c r="R44" i="12"/>
  <c r="V44" i="12"/>
  <c r="C73" i="12"/>
  <c r="E73" i="12"/>
  <c r="G73" i="12"/>
  <c r="P25" i="12"/>
  <c r="F45" i="12"/>
  <c r="G45" i="12"/>
  <c r="I45" i="12"/>
  <c r="P26" i="12"/>
  <c r="R25" i="12"/>
  <c r="V25" i="12"/>
  <c r="C59" i="12"/>
  <c r="E59" i="12"/>
  <c r="G59" i="12"/>
  <c r="R26" i="12"/>
  <c r="V26" i="12"/>
  <c r="C60" i="12"/>
  <c r="E60" i="12"/>
  <c r="G60" i="12"/>
  <c r="L46" i="12"/>
  <c r="M46" i="12"/>
  <c r="H46" i="12"/>
  <c r="C46" i="12"/>
  <c r="D46" i="12"/>
  <c r="J46" i="12"/>
  <c r="K46" i="12"/>
  <c r="P45" i="12"/>
  <c r="Q27" i="12"/>
  <c r="D61" i="12"/>
  <c r="Q46" i="12"/>
  <c r="D75" i="12"/>
  <c r="R45" i="12"/>
  <c r="V45" i="12"/>
  <c r="C74" i="12"/>
  <c r="E74" i="12"/>
  <c r="G74" i="12"/>
  <c r="F46" i="12"/>
  <c r="G46" i="12"/>
  <c r="I46" i="12"/>
  <c r="P27" i="12"/>
  <c r="P46" i="12"/>
  <c r="R46" i="12"/>
  <c r="V46" i="12"/>
  <c r="V47" i="12"/>
  <c r="C75" i="12"/>
  <c r="E75" i="12"/>
  <c r="G75" i="12"/>
  <c r="R27" i="12"/>
  <c r="V27" i="12"/>
  <c r="V28" i="12"/>
  <c r="C61" i="12"/>
  <c r="E61" i="12"/>
  <c r="G61" i="12"/>
  <c r="G62" i="12"/>
  <c r="G76" i="12"/>
  <c r="V48" i="12"/>
  <c r="R64" i="12"/>
</calcChain>
</file>

<file path=xl/sharedStrings.xml><?xml version="1.0" encoding="utf-8"?>
<sst xmlns="http://schemas.openxmlformats.org/spreadsheetml/2006/main" count="92" uniqueCount="55">
  <si>
    <t>m2</t>
  </si>
  <si>
    <t>p</t>
  </si>
  <si>
    <t>q</t>
  </si>
  <si>
    <t>x1(t)</t>
  </si>
  <si>
    <t>x2(t)</t>
  </si>
  <si>
    <t>2nd gen</t>
  </si>
  <si>
    <t>upgraders</t>
  </si>
  <si>
    <t>newcomers</t>
  </si>
  <si>
    <t>x3(t)</t>
  </si>
  <si>
    <t>x4(t)</t>
  </si>
  <si>
    <t>x(t)</t>
  </si>
  <si>
    <t>year</t>
  </si>
  <si>
    <t>1st</t>
  </si>
  <si>
    <t>2nd</t>
  </si>
  <si>
    <t>360</t>
  </si>
  <si>
    <t>370</t>
  </si>
  <si>
    <t>Total</t>
  </si>
  <si>
    <t>price</t>
  </si>
  <si>
    <t xml:space="preserve">gross p </t>
  </si>
  <si>
    <t>margins</t>
  </si>
  <si>
    <t>net</t>
  </si>
  <si>
    <t>difference</t>
  </si>
  <si>
    <t>value of</t>
  </si>
  <si>
    <t>rental</t>
  </si>
  <si>
    <t>Mahajan and Muller 1996</t>
  </si>
  <si>
    <t>gain of 360 from the early intro</t>
  </si>
  <si>
    <t>2dn gen</t>
  </si>
  <si>
    <t>NPV at</t>
  </si>
  <si>
    <t>discount rate, in 1964 Dollars</t>
  </si>
  <si>
    <t>discount rate, in 1964 million Dollars</t>
  </si>
  <si>
    <t>difference in 1964 million dollars</t>
  </si>
  <si>
    <t>in 000 $</t>
  </si>
  <si>
    <t>percent gain</t>
  </si>
  <si>
    <t xml:space="preserve">NPV </t>
  </si>
  <si>
    <t>net price (gross profits)</t>
  </si>
  <si>
    <t>value of difference</t>
  </si>
  <si>
    <t>USD (000)</t>
  </si>
  <si>
    <t>360 introduced at 1965</t>
  </si>
  <si>
    <t>360 introduced at 1964</t>
  </si>
  <si>
    <t xml:space="preserve">Introduction at 1965 </t>
  </si>
  <si>
    <t>USD</t>
  </si>
  <si>
    <t>leapfroggers</t>
  </si>
  <si>
    <t>m3</t>
  </si>
  <si>
    <t xml:space="preserve">Introduction at 1964 </t>
  </si>
  <si>
    <t>systems-in-place</t>
  </si>
  <si>
    <t>n2</t>
  </si>
  <si>
    <t>N2</t>
  </si>
  <si>
    <t>n3</t>
  </si>
  <si>
    <t>N3</t>
  </si>
  <si>
    <t>nu</t>
  </si>
  <si>
    <t>Nu</t>
  </si>
  <si>
    <t>ng</t>
  </si>
  <si>
    <t>Ng</t>
  </si>
  <si>
    <t>nc</t>
  </si>
  <si>
    <t>Nc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</si>
</sst>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Red]\(&quot;$&quot;#,##0\)"/>
    <numFmt numFmtId="165" formatCode="_ * #,##0.00_ ;_ * \-#,##0.00_ ;_ * &quot;-&quot;??_ ;_ @_ "/>
    <numFmt numFmtId="166" formatCode="0.000"/>
    <numFmt numFmtId="167" formatCode="_ * #,##0_ ;_ * \-#,##0_ ;_ * &quot;-&quot;??_ ;_ @_ "/>
    <numFmt numFmtId="168" formatCode="[$$-409]#,##0_ ;[Red]\-[$$-409]#,##0\ "/>
    <numFmt numFmtId="169" formatCode="[$$-409]#,##0"/>
  </numFmts>
  <fonts count="9" x14ac:knownFonts="1">
    <font>
      <sz val="10"/>
      <name val="Arial"/>
      <charset val="177"/>
    </font>
    <font>
      <sz val="10"/>
      <name val="Arial"/>
      <family val="2"/>
    </font>
    <font>
      <sz val="8"/>
      <name val="Arial"/>
      <family val="2"/>
    </font>
    <font>
      <sz val="10"/>
      <name val="Courier"/>
      <family val="3"/>
      <charset val="177"/>
    </font>
    <font>
      <sz val="11"/>
      <name val="Calibri"/>
      <scheme val="minor"/>
    </font>
    <font>
      <b/>
      <sz val="11"/>
      <name val="Calibri"/>
      <scheme val="minor"/>
    </font>
    <font>
      <b/>
      <sz val="11"/>
      <color rgb="FFFF0000"/>
      <name val="Calibri"/>
      <scheme val="minor"/>
    </font>
    <font>
      <u/>
      <sz val="10"/>
      <color theme="10"/>
      <name val="Arial"/>
      <charset val="177"/>
    </font>
    <font>
      <u/>
      <sz val="10"/>
      <color theme="11"/>
      <name val="Arial"/>
      <charset val="177"/>
    </font>
  </fonts>
  <fills count="5">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theme="8"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s>
  <cellStyleXfs count="19">
    <xf numFmtId="0" fontId="0" fillId="0" borderId="0"/>
    <xf numFmtId="165"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8">
    <xf numFmtId="0" fontId="0" fillId="0" borderId="0" xfId="0"/>
    <xf numFmtId="0" fontId="4" fillId="0" borderId="0" xfId="0" applyFont="1" applyAlignment="1">
      <alignment horizontal="center"/>
    </xf>
    <xf numFmtId="0" fontId="4" fillId="0" borderId="0" xfId="0" applyFont="1"/>
    <xf numFmtId="0" fontId="4" fillId="0" borderId="0" xfId="2" applyFont="1" applyAlignment="1">
      <alignment horizontal="center"/>
    </xf>
    <xf numFmtId="0" fontId="4" fillId="0" borderId="0" xfId="2" applyFont="1" applyAlignment="1" applyProtection="1">
      <alignment horizontal="center"/>
    </xf>
    <xf numFmtId="37" fontId="4" fillId="0" borderId="0" xfId="2" applyNumberFormat="1" applyFont="1" applyAlignment="1" applyProtection="1">
      <alignment horizontal="center"/>
    </xf>
    <xf numFmtId="37" fontId="4" fillId="0" borderId="0" xfId="0" applyNumberFormat="1" applyFont="1" applyAlignment="1">
      <alignment horizontal="center"/>
    </xf>
    <xf numFmtId="0" fontId="4" fillId="0" borderId="5" xfId="0" applyFont="1" applyBorder="1"/>
    <xf numFmtId="166" fontId="4" fillId="0" borderId="0" xfId="0" applyNumberFormat="1" applyFont="1" applyAlignment="1">
      <alignment horizontal="center"/>
    </xf>
    <xf numFmtId="0" fontId="5" fillId="0" borderId="0" xfId="0" applyFont="1"/>
    <xf numFmtId="0" fontId="6" fillId="0" borderId="0" xfId="0" applyFont="1"/>
    <xf numFmtId="3" fontId="4" fillId="0" borderId="0" xfId="0" applyNumberFormat="1" applyFont="1" applyBorder="1" applyAlignment="1">
      <alignment horizontal="center"/>
    </xf>
    <xf numFmtId="0" fontId="4" fillId="0" borderId="0" xfId="0" applyFont="1" applyFill="1" applyBorder="1"/>
    <xf numFmtId="3" fontId="4" fillId="0" borderId="0" xfId="0" applyNumberFormat="1" applyFont="1" applyFill="1" applyBorder="1"/>
    <xf numFmtId="0" fontId="4" fillId="3" borderId="4" xfId="0" applyFont="1" applyFill="1" applyBorder="1" applyAlignment="1">
      <alignment horizontal="left"/>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0" borderId="0" xfId="0" applyFont="1" applyFill="1"/>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0" borderId="0" xfId="0" applyFont="1" applyFill="1" applyAlignment="1">
      <alignment horizontal="center"/>
    </xf>
    <xf numFmtId="0" fontId="4" fillId="0" borderId="1" xfId="0" applyFont="1" applyBorder="1" applyAlignment="1">
      <alignment horizontal="center"/>
    </xf>
    <xf numFmtId="3" fontId="4" fillId="0" borderId="1" xfId="0" applyNumberFormat="1" applyFont="1" applyBorder="1" applyAlignment="1">
      <alignment horizontal="center"/>
    </xf>
    <xf numFmtId="0" fontId="4" fillId="0" borderId="3" xfId="0" applyFont="1" applyBorder="1" applyAlignment="1">
      <alignment horizontal="center"/>
    </xf>
    <xf numFmtId="167" fontId="4" fillId="0" borderId="1" xfId="1" applyNumberFormat="1" applyFont="1" applyFill="1" applyBorder="1"/>
    <xf numFmtId="165" fontId="4" fillId="0" borderId="1" xfId="1" applyNumberFormat="1" applyFont="1" applyFill="1" applyBorder="1" applyAlignment="1">
      <alignment horizontal="center"/>
    </xf>
    <xf numFmtId="169" fontId="4" fillId="0" borderId="1" xfId="1" applyNumberFormat="1" applyFont="1" applyFill="1" applyBorder="1"/>
    <xf numFmtId="167" fontId="4" fillId="2" borderId="1" xfId="1" applyNumberFormat="1" applyFont="1" applyFill="1" applyBorder="1"/>
    <xf numFmtId="167" fontId="4" fillId="3" borderId="1" xfId="1" applyNumberFormat="1" applyFont="1" applyFill="1" applyBorder="1"/>
    <xf numFmtId="167" fontId="4" fillId="4" borderId="1" xfId="1" applyNumberFormat="1" applyFont="1" applyFill="1" applyBorder="1"/>
    <xf numFmtId="9" fontId="4" fillId="0" borderId="0" xfId="3" applyFont="1" applyAlignment="1">
      <alignment horizontal="center"/>
    </xf>
    <xf numFmtId="164" fontId="4" fillId="0" borderId="0" xfId="0" applyNumberFormat="1" applyFont="1"/>
    <xf numFmtId="167" fontId="4" fillId="2" borderId="1" xfId="1" applyNumberFormat="1" applyFont="1" applyFill="1" applyBorder="1" applyAlignment="1">
      <alignment horizontal="center"/>
    </xf>
    <xf numFmtId="165" fontId="4" fillId="0" borderId="1" xfId="1" applyNumberFormat="1" applyFont="1" applyFill="1" applyBorder="1"/>
    <xf numFmtId="9" fontId="4" fillId="0" borderId="0" xfId="3" applyFont="1"/>
    <xf numFmtId="168" fontId="4" fillId="0" borderId="0" xfId="0" applyNumberFormat="1" applyFont="1"/>
    <xf numFmtId="3" fontId="4" fillId="2" borderId="1" xfId="0" applyNumberFormat="1" applyFont="1" applyFill="1" applyBorder="1"/>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center"/>
    </xf>
    <xf numFmtId="167" fontId="4" fillId="0" borderId="1" xfId="1" applyNumberFormat="1" applyFont="1" applyBorder="1" applyAlignment="1">
      <alignment horizontal="center" vertical="center"/>
    </xf>
    <xf numFmtId="167" fontId="4" fillId="0" borderId="1" xfId="1" applyNumberFormat="1" applyFont="1" applyBorder="1"/>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19">
    <cellStyle name="Comma" xfId="1"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4"/>
    <cellStyle name="Normal_גיליון1"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Introducing the 360 a year earlier</a:t>
            </a:r>
          </a:p>
        </c:rich>
      </c:tx>
      <c:overlay val="0"/>
    </c:title>
    <c:autoTitleDeleted val="0"/>
    <c:plotArea>
      <c:layout/>
      <c:lineChart>
        <c:grouping val="standard"/>
        <c:varyColors val="0"/>
        <c:ser>
          <c:idx val="0"/>
          <c:order val="0"/>
          <c:tx>
            <c:v>2nd, 1964</c:v>
          </c:tx>
          <c:spPr>
            <a:ln w="12700">
              <a:solidFill>
                <a:schemeClr val="tx2">
                  <a:lumMod val="75000"/>
                </a:schemeClr>
              </a:solidFill>
            </a:ln>
          </c:spPr>
          <c:marker>
            <c:spPr>
              <a:solidFill>
                <a:schemeClr val="tx2">
                  <a:lumMod val="75000"/>
                </a:schemeClr>
              </a:solidFill>
              <a:ln>
                <a:solidFill>
                  <a:schemeClr val="tx2">
                    <a:lumMod val="75000"/>
                  </a:schemeClr>
                </a:solidFill>
              </a:ln>
            </c:spPr>
          </c:marker>
          <c:cat>
            <c:numRef>
              <c:f>timing!$B$14:$B$27</c:f>
              <c:numCache>
                <c:formatCode>General</c:formatCode>
                <c:ptCount val="14"/>
                <c:pt idx="0">
                  <c:v>1959.0</c:v>
                </c:pt>
                <c:pt idx="1">
                  <c:v>1960.0</c:v>
                </c:pt>
                <c:pt idx="2">
                  <c:v>1961.0</c:v>
                </c:pt>
                <c:pt idx="3">
                  <c:v>1962.0</c:v>
                </c:pt>
                <c:pt idx="4">
                  <c:v>1963.0</c:v>
                </c:pt>
                <c:pt idx="5">
                  <c:v>1964.0</c:v>
                </c:pt>
                <c:pt idx="6">
                  <c:v>1965.0</c:v>
                </c:pt>
                <c:pt idx="7">
                  <c:v>1966.0</c:v>
                </c:pt>
                <c:pt idx="8">
                  <c:v>1967.0</c:v>
                </c:pt>
                <c:pt idx="9">
                  <c:v>1968.0</c:v>
                </c:pt>
                <c:pt idx="10">
                  <c:v>1969.0</c:v>
                </c:pt>
                <c:pt idx="11">
                  <c:v>1970.0</c:v>
                </c:pt>
                <c:pt idx="12">
                  <c:v>1971.0</c:v>
                </c:pt>
                <c:pt idx="13">
                  <c:v>1972.0</c:v>
                </c:pt>
              </c:numCache>
            </c:numRef>
          </c:cat>
          <c:val>
            <c:numRef>
              <c:f>timing!$D$14:$D$27</c:f>
              <c:numCache>
                <c:formatCode>#,##0</c:formatCode>
                <c:ptCount val="14"/>
                <c:pt idx="0">
                  <c:v>508.554</c:v>
                </c:pt>
                <c:pt idx="1">
                  <c:v>1408.73526432</c:v>
                </c:pt>
                <c:pt idx="2">
                  <c:v>2922.533230863517</c:v>
                </c:pt>
                <c:pt idx="3">
                  <c:v>5238.860218949384</c:v>
                </c:pt>
                <c:pt idx="4">
                  <c:v>8226.320668182004</c:v>
                </c:pt>
                <c:pt idx="5">
                  <c:v>10772.24757124594</c:v>
                </c:pt>
                <c:pt idx="6">
                  <c:v>11520.30129486042</c:v>
                </c:pt>
                <c:pt idx="7">
                  <c:v>10409.39880635552</c:v>
                </c:pt>
                <c:pt idx="8">
                  <c:v>8139.68638190346</c:v>
                </c:pt>
                <c:pt idx="9">
                  <c:v>5156.304001462485</c:v>
                </c:pt>
                <c:pt idx="10">
                  <c:v>2298.120706771224</c:v>
                </c:pt>
                <c:pt idx="11">
                  <c:v>611.8718226552587</c:v>
                </c:pt>
                <c:pt idx="12">
                  <c:v>98.14752229640033</c:v>
                </c:pt>
                <c:pt idx="13">
                  <c:v>12.57863167452368</c:v>
                </c:pt>
              </c:numCache>
            </c:numRef>
          </c:val>
          <c:smooth val="0"/>
        </c:ser>
        <c:ser>
          <c:idx val="1"/>
          <c:order val="1"/>
          <c:tx>
            <c:v>2nd 1965</c:v>
          </c:tx>
          <c:spPr>
            <a:ln w="12700"/>
          </c:spPr>
          <c:cat>
            <c:numRef>
              <c:f>timing!$B$14:$B$27</c:f>
              <c:numCache>
                <c:formatCode>General</c:formatCode>
                <c:ptCount val="14"/>
                <c:pt idx="0">
                  <c:v>1959.0</c:v>
                </c:pt>
                <c:pt idx="1">
                  <c:v>1960.0</c:v>
                </c:pt>
                <c:pt idx="2">
                  <c:v>1961.0</c:v>
                </c:pt>
                <c:pt idx="3">
                  <c:v>1962.0</c:v>
                </c:pt>
                <c:pt idx="4">
                  <c:v>1963.0</c:v>
                </c:pt>
                <c:pt idx="5">
                  <c:v>1964.0</c:v>
                </c:pt>
                <c:pt idx="6">
                  <c:v>1965.0</c:v>
                </c:pt>
                <c:pt idx="7">
                  <c:v>1966.0</c:v>
                </c:pt>
                <c:pt idx="8">
                  <c:v>1967.0</c:v>
                </c:pt>
                <c:pt idx="9">
                  <c:v>1968.0</c:v>
                </c:pt>
                <c:pt idx="10">
                  <c:v>1969.0</c:v>
                </c:pt>
                <c:pt idx="11">
                  <c:v>1970.0</c:v>
                </c:pt>
                <c:pt idx="12">
                  <c:v>1971.0</c:v>
                </c:pt>
                <c:pt idx="13">
                  <c:v>1972.0</c:v>
                </c:pt>
              </c:numCache>
            </c:numRef>
          </c:cat>
          <c:val>
            <c:numRef>
              <c:f>timing!$D$33:$D$46</c:f>
              <c:numCache>
                <c:formatCode>#,##0</c:formatCode>
                <c:ptCount val="14"/>
                <c:pt idx="0">
                  <c:v>508.554</c:v>
                </c:pt>
                <c:pt idx="1">
                  <c:v>1408.73526432</c:v>
                </c:pt>
                <c:pt idx="2">
                  <c:v>2922.533230863517</c:v>
                </c:pt>
                <c:pt idx="3">
                  <c:v>5238.860218949384</c:v>
                </c:pt>
                <c:pt idx="4">
                  <c:v>8226.320668182004</c:v>
                </c:pt>
                <c:pt idx="5">
                  <c:v>11084.84775663686</c:v>
                </c:pt>
                <c:pt idx="6">
                  <c:v>12349.9013134564</c:v>
                </c:pt>
                <c:pt idx="7">
                  <c:v>11912.93304345604</c:v>
                </c:pt>
                <c:pt idx="8">
                  <c:v>10455.07880714392</c:v>
                </c:pt>
                <c:pt idx="9">
                  <c:v>8143.685370132135</c:v>
                </c:pt>
                <c:pt idx="10">
                  <c:v>5156.641148340296</c:v>
                </c:pt>
                <c:pt idx="11">
                  <c:v>2298.149035859504</c:v>
                </c:pt>
                <c:pt idx="12">
                  <c:v>611.874202360453</c:v>
                </c:pt>
                <c:pt idx="13">
                  <c:v>98.14772219207259</c:v>
                </c:pt>
              </c:numCache>
            </c:numRef>
          </c:val>
          <c:smooth val="0"/>
        </c:ser>
        <c:ser>
          <c:idx val="2"/>
          <c:order val="2"/>
          <c:tx>
            <c:v>360, 1964</c:v>
          </c:tx>
          <c:spPr>
            <a:ln w="12700">
              <a:solidFill>
                <a:schemeClr val="accent3">
                  <a:lumMod val="50000"/>
                </a:schemeClr>
              </a:solidFill>
            </a:ln>
          </c:spPr>
          <c:marker>
            <c:spPr>
              <a:solidFill>
                <a:schemeClr val="accent3">
                  <a:lumMod val="50000"/>
                </a:schemeClr>
              </a:solidFill>
              <a:ln>
                <a:solidFill>
                  <a:schemeClr val="accent3">
                    <a:lumMod val="50000"/>
                  </a:schemeClr>
                </a:solidFill>
              </a:ln>
            </c:spPr>
          </c:marker>
          <c:cat>
            <c:numRef>
              <c:f>timing!$B$14:$B$27</c:f>
              <c:numCache>
                <c:formatCode>General</c:formatCode>
                <c:ptCount val="14"/>
                <c:pt idx="0">
                  <c:v>1959.0</c:v>
                </c:pt>
                <c:pt idx="1">
                  <c:v>1960.0</c:v>
                </c:pt>
                <c:pt idx="2">
                  <c:v>1961.0</c:v>
                </c:pt>
                <c:pt idx="3">
                  <c:v>1962.0</c:v>
                </c:pt>
                <c:pt idx="4">
                  <c:v>1963.0</c:v>
                </c:pt>
                <c:pt idx="5">
                  <c:v>1964.0</c:v>
                </c:pt>
                <c:pt idx="6">
                  <c:v>1965.0</c:v>
                </c:pt>
                <c:pt idx="7">
                  <c:v>1966.0</c:v>
                </c:pt>
                <c:pt idx="8">
                  <c:v>1967.0</c:v>
                </c:pt>
                <c:pt idx="9">
                  <c:v>1968.0</c:v>
                </c:pt>
                <c:pt idx="10">
                  <c:v>1969.0</c:v>
                </c:pt>
                <c:pt idx="11">
                  <c:v>1970.0</c:v>
                </c:pt>
                <c:pt idx="12">
                  <c:v>1971.0</c:v>
                </c:pt>
                <c:pt idx="13">
                  <c:v>1972.0</c:v>
                </c:pt>
              </c:numCache>
            </c:numRef>
          </c:cat>
          <c:val>
            <c:numRef>
              <c:f>timing!$G$14:$G$27</c:f>
              <c:numCache>
                <c:formatCode>#,##0</c:formatCode>
                <c:ptCount val="14"/>
                <c:pt idx="5">
                  <c:v>1025.848</c:v>
                </c:pt>
                <c:pt idx="6">
                  <c:v>2841.68102784</c:v>
                </c:pt>
                <c:pt idx="7">
                  <c:v>5895.293065859038</c:v>
                </c:pt>
                <c:pt idx="8">
                  <c:v>10567.75539645502</c:v>
                </c:pt>
                <c:pt idx="9">
                  <c:v>16594.01873707251</c:v>
                </c:pt>
                <c:pt idx="10">
                  <c:v>22360.19950968905</c:v>
                </c:pt>
                <c:pt idx="11">
                  <c:v>25761.73539262641</c:v>
                </c:pt>
                <c:pt idx="12">
                  <c:v>26798.01774495433</c:v>
                </c:pt>
                <c:pt idx="13">
                  <c:v>26970.62652280475</c:v>
                </c:pt>
              </c:numCache>
            </c:numRef>
          </c:val>
          <c:smooth val="0"/>
        </c:ser>
        <c:ser>
          <c:idx val="3"/>
          <c:order val="3"/>
          <c:tx>
            <c:v>360, 1965</c:v>
          </c:tx>
          <c:spPr>
            <a:ln w="12700">
              <a:solidFill>
                <a:srgbClr val="7030A0"/>
              </a:solidFill>
            </a:ln>
          </c:spPr>
          <c:marker>
            <c:symbol val="circle"/>
            <c:size val="5"/>
            <c:spPr>
              <a:ln>
                <a:solidFill>
                  <a:srgbClr val="7030A0"/>
                </a:solidFill>
              </a:ln>
            </c:spPr>
          </c:marker>
          <c:cat>
            <c:numRef>
              <c:f>timing!$B$14:$B$27</c:f>
              <c:numCache>
                <c:formatCode>General</c:formatCode>
                <c:ptCount val="14"/>
                <c:pt idx="0">
                  <c:v>1959.0</c:v>
                </c:pt>
                <c:pt idx="1">
                  <c:v>1960.0</c:v>
                </c:pt>
                <c:pt idx="2">
                  <c:v>1961.0</c:v>
                </c:pt>
                <c:pt idx="3">
                  <c:v>1962.0</c:v>
                </c:pt>
                <c:pt idx="4">
                  <c:v>1963.0</c:v>
                </c:pt>
                <c:pt idx="5">
                  <c:v>1964.0</c:v>
                </c:pt>
                <c:pt idx="6">
                  <c:v>1965.0</c:v>
                </c:pt>
                <c:pt idx="7">
                  <c:v>1966.0</c:v>
                </c:pt>
                <c:pt idx="8">
                  <c:v>1967.0</c:v>
                </c:pt>
                <c:pt idx="9">
                  <c:v>1968.0</c:v>
                </c:pt>
                <c:pt idx="10">
                  <c:v>1969.0</c:v>
                </c:pt>
                <c:pt idx="11">
                  <c:v>1970.0</c:v>
                </c:pt>
                <c:pt idx="12">
                  <c:v>1971.0</c:v>
                </c:pt>
                <c:pt idx="13">
                  <c:v>1972.0</c:v>
                </c:pt>
              </c:numCache>
            </c:numRef>
          </c:cat>
          <c:val>
            <c:numRef>
              <c:f>timing!$G$33:$G$46</c:f>
              <c:numCache>
                <c:formatCode>#,##0</c:formatCode>
                <c:ptCount val="14"/>
                <c:pt idx="6">
                  <c:v>1025.848</c:v>
                </c:pt>
                <c:pt idx="7">
                  <c:v>2841.68102784</c:v>
                </c:pt>
                <c:pt idx="8">
                  <c:v>5895.29306585904</c:v>
                </c:pt>
                <c:pt idx="9">
                  <c:v>10567.75539645502</c:v>
                </c:pt>
                <c:pt idx="10">
                  <c:v>16594.01873707251</c:v>
                </c:pt>
                <c:pt idx="11">
                  <c:v>22360.19950968905</c:v>
                </c:pt>
                <c:pt idx="12">
                  <c:v>25761.73539262641</c:v>
                </c:pt>
                <c:pt idx="13">
                  <c:v>26798.01774495433</c:v>
                </c:pt>
              </c:numCache>
            </c:numRef>
          </c:val>
          <c:smooth val="0"/>
        </c:ser>
        <c:dLbls>
          <c:showLegendKey val="0"/>
          <c:showVal val="0"/>
          <c:showCatName val="0"/>
          <c:showSerName val="0"/>
          <c:showPercent val="0"/>
          <c:showBubbleSize val="0"/>
        </c:dLbls>
        <c:marker val="1"/>
        <c:smooth val="0"/>
        <c:axId val="-2076341432"/>
        <c:axId val="-2116722712"/>
      </c:lineChart>
      <c:catAx>
        <c:axId val="-2076341432"/>
        <c:scaling>
          <c:orientation val="minMax"/>
        </c:scaling>
        <c:delete val="0"/>
        <c:axPos val="b"/>
        <c:numFmt formatCode="General" sourceLinked="1"/>
        <c:majorTickMark val="none"/>
        <c:minorTickMark val="none"/>
        <c:tickLblPos val="nextTo"/>
        <c:crossAx val="-2116722712"/>
        <c:crosses val="autoZero"/>
        <c:auto val="1"/>
        <c:lblAlgn val="ctr"/>
        <c:lblOffset val="100"/>
        <c:noMultiLvlLbl val="0"/>
      </c:catAx>
      <c:valAx>
        <c:axId val="-2116722712"/>
        <c:scaling>
          <c:orientation val="minMax"/>
        </c:scaling>
        <c:delete val="0"/>
        <c:axPos val="l"/>
        <c:majorGridlines/>
        <c:numFmt formatCode="#,##0" sourceLinked="1"/>
        <c:majorTickMark val="none"/>
        <c:minorTickMark val="none"/>
        <c:tickLblPos val="nextTo"/>
        <c:spPr>
          <a:ln w="9525">
            <a:noFill/>
          </a:ln>
        </c:spPr>
        <c:crossAx val="-2076341432"/>
        <c:crosses val="autoZero"/>
        <c:crossBetween val="between"/>
      </c:valAx>
      <c:spPr>
        <a:ln>
          <a:solidFill>
            <a:srgbClr val="808080"/>
          </a:solidFill>
        </a:ln>
      </c:spPr>
    </c:plotArea>
    <c:legend>
      <c:legendPos val="b"/>
      <c:overlay val="0"/>
      <c:txPr>
        <a:bodyPr/>
        <a:lstStyle/>
        <a:p>
          <a:pPr>
            <a:defRPr baseline="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IBM Systems-in-use by  generations</a:t>
            </a:r>
          </a:p>
        </c:rich>
      </c:tx>
      <c:overlay val="0"/>
    </c:title>
    <c:autoTitleDeleted val="0"/>
    <c:plotArea>
      <c:layout/>
      <c:lineChart>
        <c:grouping val="standard"/>
        <c:varyColors val="0"/>
        <c:ser>
          <c:idx val="0"/>
          <c:order val="0"/>
          <c:tx>
            <c:v>1st</c:v>
          </c:tx>
          <c:spPr>
            <a:ln w="12700">
              <a:solidFill>
                <a:srgbClr val="FF0000"/>
              </a:solidFill>
              <a:prstDash val="solid"/>
            </a:ln>
          </c:spPr>
          <c:marker>
            <c:symbol val="diamond"/>
            <c:size val="5"/>
            <c:spPr>
              <a:solidFill>
                <a:srgbClr val="FF0000"/>
              </a:solidFill>
              <a:ln>
                <a:solidFill>
                  <a:srgbClr val="FF0000"/>
                </a:solidFill>
                <a:prstDash val="solid"/>
              </a:ln>
            </c:spPr>
          </c:marker>
          <c:cat>
            <c:numRef>
              <c:f>'original data'!$B$4:$B$27</c:f>
              <c:numCache>
                <c:formatCode>General</c:formatCode>
                <c:ptCount val="24"/>
                <c:pt idx="0">
                  <c:v>1955.0</c:v>
                </c:pt>
                <c:pt idx="1">
                  <c:v>1956.0</c:v>
                </c:pt>
                <c:pt idx="2">
                  <c:v>1957.0</c:v>
                </c:pt>
                <c:pt idx="3">
                  <c:v>1958.0</c:v>
                </c:pt>
                <c:pt idx="4">
                  <c:v>1959.0</c:v>
                </c:pt>
                <c:pt idx="5">
                  <c:v>1960.0</c:v>
                </c:pt>
                <c:pt idx="6">
                  <c:v>1961.0</c:v>
                </c:pt>
                <c:pt idx="7">
                  <c:v>1962.0</c:v>
                </c:pt>
                <c:pt idx="8">
                  <c:v>1963.0</c:v>
                </c:pt>
                <c:pt idx="9">
                  <c:v>1964.0</c:v>
                </c:pt>
                <c:pt idx="10">
                  <c:v>1965.0</c:v>
                </c:pt>
                <c:pt idx="11">
                  <c:v>1966.0</c:v>
                </c:pt>
                <c:pt idx="12">
                  <c:v>1967.0</c:v>
                </c:pt>
                <c:pt idx="13">
                  <c:v>1968.0</c:v>
                </c:pt>
                <c:pt idx="14">
                  <c:v>1969.0</c:v>
                </c:pt>
                <c:pt idx="15">
                  <c:v>1970.0</c:v>
                </c:pt>
                <c:pt idx="16">
                  <c:v>1971.0</c:v>
                </c:pt>
                <c:pt idx="17">
                  <c:v>1972.0</c:v>
                </c:pt>
                <c:pt idx="18">
                  <c:v>1973.0</c:v>
                </c:pt>
                <c:pt idx="19">
                  <c:v>1974.0</c:v>
                </c:pt>
                <c:pt idx="20">
                  <c:v>1975.0</c:v>
                </c:pt>
                <c:pt idx="21">
                  <c:v>1976.0</c:v>
                </c:pt>
                <c:pt idx="22">
                  <c:v>1977.0</c:v>
                </c:pt>
                <c:pt idx="23">
                  <c:v>1978.0</c:v>
                </c:pt>
              </c:numCache>
            </c:numRef>
          </c:cat>
          <c:val>
            <c:numRef>
              <c:f>'original data'!$C$4:$C$25</c:f>
              <c:numCache>
                <c:formatCode>#,##0;\-#,##0</c:formatCode>
                <c:ptCount val="22"/>
                <c:pt idx="0">
                  <c:v>190.0</c:v>
                </c:pt>
                <c:pt idx="1">
                  <c:v>560.0</c:v>
                </c:pt>
                <c:pt idx="2">
                  <c:v>1000.0</c:v>
                </c:pt>
                <c:pt idx="3">
                  <c:v>1680.0</c:v>
                </c:pt>
                <c:pt idx="4">
                  <c:v>2542.0</c:v>
                </c:pt>
                <c:pt idx="5">
                  <c:v>2640.0</c:v>
                </c:pt>
                <c:pt idx="6">
                  <c:v>2350.0</c:v>
                </c:pt>
                <c:pt idx="7">
                  <c:v>1820.0</c:v>
                </c:pt>
                <c:pt idx="8">
                  <c:v>1170.0</c:v>
                </c:pt>
                <c:pt idx="9">
                  <c:v>750.0</c:v>
                </c:pt>
                <c:pt idx="10">
                  <c:v>455.0</c:v>
                </c:pt>
                <c:pt idx="11">
                  <c:v>303.0</c:v>
                </c:pt>
                <c:pt idx="12">
                  <c:v>203.0</c:v>
                </c:pt>
                <c:pt idx="13">
                  <c:v>170.0</c:v>
                </c:pt>
                <c:pt idx="14">
                  <c:v>49.0</c:v>
                </c:pt>
                <c:pt idx="15">
                  <c:v>29.0</c:v>
                </c:pt>
                <c:pt idx="16">
                  <c:v>14.0</c:v>
                </c:pt>
                <c:pt idx="17">
                  <c:v>6.0</c:v>
                </c:pt>
                <c:pt idx="18">
                  <c:v>4.0</c:v>
                </c:pt>
                <c:pt idx="19">
                  <c:v>4.0</c:v>
                </c:pt>
                <c:pt idx="20">
                  <c:v>3.0</c:v>
                </c:pt>
                <c:pt idx="21">
                  <c:v>0.0</c:v>
                </c:pt>
              </c:numCache>
            </c:numRef>
          </c:val>
          <c:smooth val="0"/>
        </c:ser>
        <c:ser>
          <c:idx val="1"/>
          <c:order val="1"/>
          <c:tx>
            <c:v>2nd</c:v>
          </c:tx>
          <c:spPr>
            <a:ln w="12700">
              <a:solidFill>
                <a:srgbClr val="000080"/>
              </a:solidFill>
              <a:prstDash val="solid"/>
            </a:ln>
          </c:spPr>
          <c:marker>
            <c:symbol val="square"/>
            <c:size val="5"/>
            <c:spPr>
              <a:solidFill>
                <a:srgbClr val="000080"/>
              </a:solidFill>
              <a:ln>
                <a:solidFill>
                  <a:srgbClr val="000080"/>
                </a:solidFill>
                <a:prstDash val="solid"/>
              </a:ln>
            </c:spPr>
          </c:marker>
          <c:val>
            <c:numRef>
              <c:f>'original data'!$D$4:$D$27</c:f>
              <c:numCache>
                <c:formatCode>#,##0;\-#,##0</c:formatCode>
                <c:ptCount val="24"/>
                <c:pt idx="4">
                  <c:v>3.0</c:v>
                </c:pt>
                <c:pt idx="5">
                  <c:v>880.0</c:v>
                </c:pt>
                <c:pt idx="6">
                  <c:v>2510.0</c:v>
                </c:pt>
                <c:pt idx="7">
                  <c:v>4725.0</c:v>
                </c:pt>
                <c:pt idx="8">
                  <c:v>7720.0</c:v>
                </c:pt>
                <c:pt idx="9">
                  <c:v>10940.0</c:v>
                </c:pt>
                <c:pt idx="10">
                  <c:v>13090.0</c:v>
                </c:pt>
                <c:pt idx="11">
                  <c:v>13330.0</c:v>
                </c:pt>
                <c:pt idx="12">
                  <c:v>9977.0</c:v>
                </c:pt>
                <c:pt idx="13">
                  <c:v>6896.0</c:v>
                </c:pt>
                <c:pt idx="14">
                  <c:v>4646.0</c:v>
                </c:pt>
                <c:pt idx="15">
                  <c:v>3297.0</c:v>
                </c:pt>
                <c:pt idx="16">
                  <c:v>2916.0</c:v>
                </c:pt>
                <c:pt idx="17">
                  <c:v>2384.0</c:v>
                </c:pt>
                <c:pt idx="18">
                  <c:v>2079.0</c:v>
                </c:pt>
                <c:pt idx="19">
                  <c:v>1676.0</c:v>
                </c:pt>
                <c:pt idx="20">
                  <c:v>1397.0</c:v>
                </c:pt>
                <c:pt idx="21">
                  <c:v>1107.0</c:v>
                </c:pt>
                <c:pt idx="22">
                  <c:v>894.0</c:v>
                </c:pt>
                <c:pt idx="23">
                  <c:v>829.0</c:v>
                </c:pt>
              </c:numCache>
            </c:numRef>
          </c:val>
          <c:smooth val="0"/>
        </c:ser>
        <c:ser>
          <c:idx val="2"/>
          <c:order val="2"/>
          <c:tx>
            <c:v>360</c:v>
          </c:tx>
          <c:spPr>
            <a:ln w="12700">
              <a:solidFill>
                <a:srgbClr val="008000"/>
              </a:solidFill>
              <a:prstDash val="solid"/>
            </a:ln>
          </c:spPr>
          <c:marker>
            <c:symbol val="triangle"/>
            <c:size val="5"/>
            <c:spPr>
              <a:solidFill>
                <a:srgbClr val="008000"/>
              </a:solidFill>
              <a:ln>
                <a:solidFill>
                  <a:srgbClr val="008000"/>
                </a:solidFill>
                <a:prstDash val="solid"/>
              </a:ln>
            </c:spPr>
          </c:marker>
          <c:val>
            <c:numRef>
              <c:f>'original data'!$E$4:$E$27</c:f>
              <c:numCache>
                <c:formatCode>#,##0;\-#,##0</c:formatCode>
                <c:ptCount val="24"/>
                <c:pt idx="10">
                  <c:v>625.0</c:v>
                </c:pt>
                <c:pt idx="11">
                  <c:v>3881.0</c:v>
                </c:pt>
                <c:pt idx="12">
                  <c:v>8125.0</c:v>
                </c:pt>
                <c:pt idx="13">
                  <c:v>13110.0</c:v>
                </c:pt>
                <c:pt idx="14">
                  <c:v>17687.0</c:v>
                </c:pt>
                <c:pt idx="15">
                  <c:v>19412.0</c:v>
                </c:pt>
                <c:pt idx="16">
                  <c:v>17529.0</c:v>
                </c:pt>
                <c:pt idx="17">
                  <c:v>14909.0</c:v>
                </c:pt>
                <c:pt idx="18">
                  <c:v>10475.0</c:v>
                </c:pt>
                <c:pt idx="19">
                  <c:v>8060.0</c:v>
                </c:pt>
                <c:pt idx="20">
                  <c:v>6450.0</c:v>
                </c:pt>
                <c:pt idx="21">
                  <c:v>5919.0</c:v>
                </c:pt>
                <c:pt idx="22">
                  <c:v>5118.0</c:v>
                </c:pt>
                <c:pt idx="23">
                  <c:v>4641.0</c:v>
                </c:pt>
              </c:numCache>
            </c:numRef>
          </c:val>
          <c:smooth val="0"/>
        </c:ser>
        <c:ser>
          <c:idx val="3"/>
          <c:order val="3"/>
          <c:tx>
            <c:v>370</c:v>
          </c:tx>
          <c:spPr>
            <a:ln w="12700">
              <a:solidFill>
                <a:srgbClr val="FF00FF"/>
              </a:solidFill>
              <a:prstDash val="solid"/>
            </a:ln>
          </c:spPr>
          <c:marker>
            <c:symbol val="circle"/>
            <c:size val="5"/>
            <c:spPr>
              <a:solidFill>
                <a:srgbClr val="FF00FF"/>
              </a:solidFill>
              <a:ln>
                <a:solidFill>
                  <a:srgbClr val="FF00FF"/>
                </a:solidFill>
                <a:prstDash val="solid"/>
              </a:ln>
            </c:spPr>
          </c:marker>
          <c:val>
            <c:numRef>
              <c:f>'original data'!$F$4:$F$27</c:f>
              <c:numCache>
                <c:formatCode>#,##0;\-#,##0</c:formatCode>
                <c:ptCount val="24"/>
                <c:pt idx="16">
                  <c:v>806.0</c:v>
                </c:pt>
                <c:pt idx="17">
                  <c:v>2922.0</c:v>
                </c:pt>
                <c:pt idx="18">
                  <c:v>5887.0</c:v>
                </c:pt>
                <c:pt idx="19">
                  <c:v>8440.0</c:v>
                </c:pt>
                <c:pt idx="20">
                  <c:v>9335.0</c:v>
                </c:pt>
                <c:pt idx="21">
                  <c:v>9046.0</c:v>
                </c:pt>
                <c:pt idx="22">
                  <c:v>10450.0</c:v>
                </c:pt>
                <c:pt idx="23">
                  <c:v>11348.0</c:v>
                </c:pt>
              </c:numCache>
            </c:numRef>
          </c:val>
          <c:smooth val="0"/>
        </c:ser>
        <c:ser>
          <c:idx val="4"/>
          <c:order val="4"/>
          <c:tx>
            <c:v>Total</c:v>
          </c:tx>
          <c:spPr>
            <a:ln w="12700">
              <a:solidFill>
                <a:srgbClr val="000000"/>
              </a:solidFill>
              <a:prstDash val="solid"/>
            </a:ln>
          </c:spPr>
          <c:marker>
            <c:symbol val="diamond"/>
            <c:size val="5"/>
            <c:spPr>
              <a:solidFill>
                <a:srgbClr val="000000"/>
              </a:solidFill>
              <a:ln>
                <a:solidFill>
                  <a:srgbClr val="000000"/>
                </a:solidFill>
                <a:prstDash val="solid"/>
              </a:ln>
            </c:spPr>
          </c:marker>
          <c:val>
            <c:numRef>
              <c:f>'original data'!$G$4:$G$27</c:f>
              <c:numCache>
                <c:formatCode>#,##0;\-#,##0</c:formatCode>
                <c:ptCount val="24"/>
                <c:pt idx="0">
                  <c:v>190.0</c:v>
                </c:pt>
                <c:pt idx="1">
                  <c:v>560.0</c:v>
                </c:pt>
                <c:pt idx="2">
                  <c:v>1000.0</c:v>
                </c:pt>
                <c:pt idx="3">
                  <c:v>1680.0</c:v>
                </c:pt>
                <c:pt idx="4">
                  <c:v>2545.0</c:v>
                </c:pt>
                <c:pt idx="5">
                  <c:v>3520.0</c:v>
                </c:pt>
                <c:pt idx="6">
                  <c:v>4860.0</c:v>
                </c:pt>
                <c:pt idx="7">
                  <c:v>6545.0</c:v>
                </c:pt>
                <c:pt idx="8">
                  <c:v>8890.0</c:v>
                </c:pt>
                <c:pt idx="9">
                  <c:v>11690.0</c:v>
                </c:pt>
                <c:pt idx="10">
                  <c:v>14170.0</c:v>
                </c:pt>
                <c:pt idx="11">
                  <c:v>17514.0</c:v>
                </c:pt>
                <c:pt idx="12">
                  <c:v>18305.0</c:v>
                </c:pt>
                <c:pt idx="13">
                  <c:v>20176.0</c:v>
                </c:pt>
                <c:pt idx="14">
                  <c:v>22382.0</c:v>
                </c:pt>
                <c:pt idx="15">
                  <c:v>22738.0</c:v>
                </c:pt>
                <c:pt idx="16">
                  <c:v>21265.0</c:v>
                </c:pt>
                <c:pt idx="17">
                  <c:v>20221.0</c:v>
                </c:pt>
                <c:pt idx="18">
                  <c:v>18445.0</c:v>
                </c:pt>
                <c:pt idx="19">
                  <c:v>18180.0</c:v>
                </c:pt>
                <c:pt idx="20">
                  <c:v>17185.0</c:v>
                </c:pt>
                <c:pt idx="21">
                  <c:v>16072.0</c:v>
                </c:pt>
                <c:pt idx="22">
                  <c:v>16462.0</c:v>
                </c:pt>
                <c:pt idx="23">
                  <c:v>16818.0</c:v>
                </c:pt>
              </c:numCache>
            </c:numRef>
          </c:val>
          <c:smooth val="0"/>
        </c:ser>
        <c:dLbls>
          <c:showLegendKey val="0"/>
          <c:showVal val="0"/>
          <c:showCatName val="0"/>
          <c:showSerName val="0"/>
          <c:showPercent val="0"/>
          <c:showBubbleSize val="0"/>
        </c:dLbls>
        <c:marker val="1"/>
        <c:smooth val="0"/>
        <c:axId val="-2117132344"/>
        <c:axId val="2116419000"/>
      </c:lineChart>
      <c:catAx>
        <c:axId val="-2117132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a:pPr>
            <a:endParaRPr lang="en-US"/>
          </a:p>
        </c:txPr>
        <c:crossAx val="2116419000"/>
        <c:crosses val="autoZero"/>
        <c:auto val="1"/>
        <c:lblAlgn val="ctr"/>
        <c:lblOffset val="100"/>
        <c:tickLblSkip val="2"/>
        <c:tickMarkSkip val="1"/>
        <c:noMultiLvlLbl val="0"/>
      </c:catAx>
      <c:valAx>
        <c:axId val="2116419000"/>
        <c:scaling>
          <c:orientation val="minMax"/>
        </c:scaling>
        <c:delete val="0"/>
        <c:axPos val="l"/>
        <c:majorGridlines>
          <c:spPr>
            <a:ln w="3175">
              <a:solidFill>
                <a:srgbClr val="000000"/>
              </a:solidFill>
              <a:prstDash val="solid"/>
            </a:ln>
          </c:spPr>
        </c:majorGridlines>
        <c:numFmt formatCode="#,##0;\-#,##0" sourceLinked="1"/>
        <c:majorTickMark val="none"/>
        <c:minorTickMark val="none"/>
        <c:tickLblPos val="nextTo"/>
        <c:spPr>
          <a:ln w="25400">
            <a:noFill/>
          </a:ln>
        </c:spPr>
        <c:txPr>
          <a:bodyPr rot="0" vert="horz"/>
          <a:lstStyle/>
          <a:p>
            <a:pPr>
              <a:defRPr/>
            </a:pPr>
            <a:endParaRPr lang="en-US"/>
          </a:p>
        </c:txPr>
        <c:crossAx val="-2117132344"/>
        <c:crosses val="autoZero"/>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000" baseline="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7</xdr:col>
      <xdr:colOff>342900</xdr:colOff>
      <xdr:row>6</xdr:row>
      <xdr:rowOff>127000</xdr:rowOff>
    </xdr:to>
    <xdr:sp macro="" textlink="">
      <xdr:nvSpPr>
        <xdr:cNvPr id="2" name="TextBox 1"/>
        <xdr:cNvSpPr txBox="1"/>
      </xdr:nvSpPr>
      <xdr:spPr>
        <a:xfrm>
          <a:off x="63500" y="63500"/>
          <a:ext cx="6057900" cy="9779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The following sheet</a:t>
          </a:r>
          <a:r>
            <a:rPr lang="en-US" sz="1100" baseline="0"/>
            <a:t> "timing"</a:t>
          </a:r>
          <a:r>
            <a:rPr lang="en-US" sz="1100"/>
            <a:t> shows how to use the next gernation</a:t>
          </a:r>
          <a:r>
            <a:rPr lang="en-US" sz="1100" baseline="0"/>
            <a:t> diffusion model to calculate the gains/losses had IBM introduced the third generation a year earlier than it did.  The last sheet presents the original data for the example.  Play with the parameters to see how changing them affects when IBM should have released the third generation mainframe computer, the 360 family  The example and data are discussed in the text in Figures 7.5, 7.6, &amp; Table 7.4.</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114300</xdr:colOff>
      <xdr:row>2</xdr:row>
      <xdr:rowOff>142875</xdr:rowOff>
    </xdr:from>
    <xdr:to>
      <xdr:col>30</xdr:col>
      <xdr:colOff>390525</xdr:colOff>
      <xdr:row>28</xdr:row>
      <xdr:rowOff>128588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123825</xdr:colOff>
      <xdr:row>29</xdr:row>
      <xdr:rowOff>114300</xdr:rowOff>
    </xdr:from>
    <xdr:to>
      <xdr:col>30</xdr:col>
      <xdr:colOff>485775</xdr:colOff>
      <xdr:row>50</xdr:row>
      <xdr:rowOff>485775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73625" y="4648200"/>
          <a:ext cx="6610350"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63500</xdr:colOff>
      <xdr:row>0</xdr:row>
      <xdr:rowOff>50800</xdr:rowOff>
    </xdr:from>
    <xdr:to>
      <xdr:col>7</xdr:col>
      <xdr:colOff>203200</xdr:colOff>
      <xdr:row>3</xdr:row>
      <xdr:rowOff>0</xdr:rowOff>
    </xdr:to>
    <xdr:sp macro="" textlink="">
      <xdr:nvSpPr>
        <xdr:cNvPr id="3" name="TextBox 2"/>
        <xdr:cNvSpPr txBox="1"/>
      </xdr:nvSpPr>
      <xdr:spPr>
        <a:xfrm>
          <a:off x="63500" y="50800"/>
          <a:ext cx="6477000" cy="4826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Spreasheet 7.1 which deals with a two generations substitution model, helps in understanding the notation.</a:t>
          </a:r>
        </a:p>
        <a:p>
          <a:r>
            <a:rPr lang="en-US" sz="1100"/>
            <a:t>Adoption of 2 generations of IBM: The second generation and the third - the 360 family</a:t>
          </a:r>
        </a:p>
      </xdr:txBody>
    </xdr:sp>
    <xdr:clientData/>
  </xdr:twoCellAnchor>
  <xdr:twoCellAnchor>
    <xdr:from>
      <xdr:col>1</xdr:col>
      <xdr:colOff>12700</xdr:colOff>
      <xdr:row>47</xdr:row>
      <xdr:rowOff>0</xdr:rowOff>
    </xdr:from>
    <xdr:to>
      <xdr:col>5</xdr:col>
      <xdr:colOff>673100</xdr:colOff>
      <xdr:row>49</xdr:row>
      <xdr:rowOff>127000</xdr:rowOff>
    </xdr:to>
    <xdr:sp macro="" textlink="">
      <xdr:nvSpPr>
        <xdr:cNvPr id="5" name="TextBox 4"/>
        <xdr:cNvSpPr txBox="1"/>
      </xdr:nvSpPr>
      <xdr:spPr>
        <a:xfrm>
          <a:off x="901700" y="8356600"/>
          <a:ext cx="4216400" cy="4826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tables for the chapter</a:t>
          </a:r>
        </a:p>
        <a:p>
          <a:r>
            <a:rPr lang="en-US" sz="1100"/>
            <a:t>Loss of the 2nd generation because of the early introduction of the 360</a:t>
          </a:r>
        </a:p>
      </xdr:txBody>
    </xdr:sp>
    <xdr:clientData/>
  </xdr:twoCellAnchor>
  <xdr:twoCellAnchor>
    <xdr:from>
      <xdr:col>1</xdr:col>
      <xdr:colOff>0</xdr:colOff>
      <xdr:row>62</xdr:row>
      <xdr:rowOff>0</xdr:rowOff>
    </xdr:from>
    <xdr:to>
      <xdr:col>5</xdr:col>
      <xdr:colOff>723900</xdr:colOff>
      <xdr:row>63</xdr:row>
      <xdr:rowOff>152400</xdr:rowOff>
    </xdr:to>
    <xdr:sp macro="" textlink="">
      <xdr:nvSpPr>
        <xdr:cNvPr id="6" name="TextBox 5"/>
        <xdr:cNvSpPr txBox="1"/>
      </xdr:nvSpPr>
      <xdr:spPr>
        <a:xfrm>
          <a:off x="889000" y="11379200"/>
          <a:ext cx="4279900" cy="330200"/>
        </a:xfrm>
        <a:prstGeom prst="rect">
          <a:avLst/>
        </a:prstGeom>
        <a:ln w="3175" cmpd="sng">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Gain of the 360 generation because of the early introduction of the 360</a:t>
          </a:r>
        </a:p>
      </xdr:txBody>
    </xdr:sp>
    <xdr:clientData/>
  </xdr:twoCellAnchor>
  <xdr:twoCellAnchor>
    <xdr:from>
      <xdr:col>14</xdr:col>
      <xdr:colOff>38100</xdr:colOff>
      <xdr:row>3</xdr:row>
      <xdr:rowOff>101600</xdr:rowOff>
    </xdr:from>
    <xdr:to>
      <xdr:col>21</xdr:col>
      <xdr:colOff>749300</xdr:colOff>
      <xdr:row>8</xdr:row>
      <xdr:rowOff>165100</xdr:rowOff>
    </xdr:to>
    <xdr:sp macro="" textlink="">
      <xdr:nvSpPr>
        <xdr:cNvPr id="7" name="TextBox 6"/>
        <xdr:cNvSpPr txBox="1"/>
      </xdr:nvSpPr>
      <xdr:spPr>
        <a:xfrm>
          <a:off x="12598400" y="635000"/>
          <a:ext cx="6934200" cy="9525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Cost of capital of IBM: Levy, Haim, and Sarnat, Marshall, Capital Investment and Financial Decisions, Prentice Hall, 1982</a:t>
          </a:r>
        </a:p>
        <a:p>
          <a:r>
            <a:rPr lang="en-US" sz="1100"/>
            <a:t>Rental - Phister Table II.2.10 p 333</a:t>
          </a:r>
        </a:p>
        <a:p>
          <a:r>
            <a:rPr lang="en-US" sz="1100"/>
            <a:t>based on representative mainframes: 1401 for 2nd and 360/30 for third generation</a:t>
          </a:r>
        </a:p>
        <a:p>
          <a:endParaRPr lang="en-US" sz="1100"/>
        </a:p>
        <a:p>
          <a:r>
            <a:rPr lang="en-US" sz="1100"/>
            <a:t>loss of the 2nd generation because of the early intro of the 360</a:t>
          </a:r>
        </a:p>
      </xdr:txBody>
    </xdr:sp>
    <xdr:clientData/>
  </xdr:twoCellAnchor>
  <xdr:twoCellAnchor>
    <xdr:from>
      <xdr:col>14</xdr:col>
      <xdr:colOff>12700</xdr:colOff>
      <xdr:row>50</xdr:row>
      <xdr:rowOff>25400</xdr:rowOff>
    </xdr:from>
    <xdr:to>
      <xdr:col>19</xdr:col>
      <xdr:colOff>711200</xdr:colOff>
      <xdr:row>50</xdr:row>
      <xdr:rowOff>292100</xdr:rowOff>
    </xdr:to>
    <xdr:sp macro="" textlink="">
      <xdr:nvSpPr>
        <xdr:cNvPr id="9" name="TextBox 8"/>
        <xdr:cNvSpPr txBox="1"/>
      </xdr:nvSpPr>
      <xdr:spPr>
        <a:xfrm>
          <a:off x="12573000" y="8915400"/>
          <a:ext cx="5143500" cy="2667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actual value of 360 up to 1972 in 1964 million dollars (real growth from "original data")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2</xdr:row>
      <xdr:rowOff>123825</xdr:rowOff>
    </xdr:from>
    <xdr:to>
      <xdr:col>18</xdr:col>
      <xdr:colOff>171450</xdr:colOff>
      <xdr:row>25</xdr:row>
      <xdr:rowOff>133350</xdr:rowOff>
    </xdr:to>
    <xdr:graphicFrame macro="">
      <xdr:nvGraphicFramePr>
        <xdr:cNvPr id="6146"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11" sqref="G11"/>
    </sheetView>
  </sheetViews>
  <sheetFormatPr baseColWidth="10" defaultRowHeight="12"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topLeftCell="A21" workbookViewId="0">
      <selection activeCell="H7" sqref="H7"/>
    </sheetView>
  </sheetViews>
  <sheetFormatPr baseColWidth="10" defaultColWidth="8.83203125" defaultRowHeight="14" x14ac:dyDescent="0"/>
  <cols>
    <col min="1" max="6" width="11.6640625" style="2" customWidth="1"/>
    <col min="7" max="7" width="13.1640625" style="2" customWidth="1"/>
    <col min="8" max="21" width="11.6640625" style="2" customWidth="1"/>
    <col min="22" max="22" width="14.33203125" style="2" customWidth="1"/>
    <col min="23" max="38" width="11.6640625" style="2" customWidth="1"/>
    <col min="39" max="16384" width="8.83203125" style="2"/>
  </cols>
  <sheetData>
    <row r="1" spans="1:22">
      <c r="N1" s="7"/>
    </row>
    <row r="2" spans="1:22">
      <c r="N2" s="7"/>
    </row>
    <row r="3" spans="1:22">
      <c r="N3" s="7"/>
    </row>
    <row r="4" spans="1:22">
      <c r="A4" s="1" t="s">
        <v>1</v>
      </c>
      <c r="B4" s="8">
        <v>3.7999999999999999E-2</v>
      </c>
      <c r="N4" s="7"/>
    </row>
    <row r="5" spans="1:22">
      <c r="A5" s="1" t="s">
        <v>2</v>
      </c>
      <c r="B5" s="8">
        <v>0.84</v>
      </c>
      <c r="D5" s="9"/>
      <c r="E5" s="9"/>
      <c r="N5" s="7"/>
      <c r="O5" s="10"/>
    </row>
    <row r="6" spans="1:22">
      <c r="A6" s="1" t="s">
        <v>0</v>
      </c>
      <c r="B6" s="11">
        <v>13383</v>
      </c>
      <c r="D6" s="9"/>
      <c r="E6" s="9"/>
      <c r="N6" s="7"/>
    </row>
    <row r="7" spans="1:22">
      <c r="A7" s="1" t="s">
        <v>42</v>
      </c>
      <c r="B7" s="11">
        <v>26996</v>
      </c>
      <c r="N7" s="7"/>
    </row>
    <row r="8" spans="1:22">
      <c r="A8" s="12"/>
      <c r="B8" s="12"/>
      <c r="C8" s="12"/>
      <c r="D8" s="12"/>
      <c r="E8" s="12"/>
      <c r="F8" s="12"/>
      <c r="G8" s="12"/>
      <c r="H8" s="12"/>
      <c r="I8" s="12"/>
      <c r="K8" s="12"/>
      <c r="L8" s="12"/>
      <c r="M8" s="12"/>
      <c r="N8" s="7"/>
    </row>
    <row r="9" spans="1:22">
      <c r="B9" s="12"/>
      <c r="C9" s="12"/>
      <c r="D9" s="12"/>
      <c r="E9" s="12"/>
      <c r="F9" s="13"/>
      <c r="G9" s="13"/>
      <c r="H9" s="13"/>
      <c r="I9" s="12"/>
      <c r="K9" s="12"/>
      <c r="L9" s="12"/>
      <c r="M9" s="12"/>
      <c r="N9" s="7"/>
    </row>
    <row r="10" spans="1:22">
      <c r="A10" s="12"/>
      <c r="B10" s="14" t="s">
        <v>43</v>
      </c>
      <c r="C10" s="15"/>
      <c r="N10" s="7"/>
    </row>
    <row r="11" spans="1:22">
      <c r="B11" s="16"/>
      <c r="C11" s="15" t="s">
        <v>45</v>
      </c>
      <c r="D11" s="15" t="s">
        <v>46</v>
      </c>
      <c r="E11" s="17"/>
      <c r="F11" s="15" t="s">
        <v>47</v>
      </c>
      <c r="G11" s="17" t="s">
        <v>48</v>
      </c>
      <c r="H11" s="15" t="s">
        <v>49</v>
      </c>
      <c r="I11" s="17" t="s">
        <v>50</v>
      </c>
      <c r="J11" s="15" t="s">
        <v>51</v>
      </c>
      <c r="K11" s="15" t="s">
        <v>52</v>
      </c>
      <c r="L11" s="15" t="s">
        <v>53</v>
      </c>
      <c r="M11" s="18" t="s">
        <v>54</v>
      </c>
      <c r="N11" s="7"/>
      <c r="O11" s="19"/>
      <c r="P11" s="20" t="s">
        <v>26</v>
      </c>
      <c r="Q11" s="21" t="s">
        <v>5</v>
      </c>
      <c r="R11" s="22" t="s">
        <v>21</v>
      </c>
      <c r="S11" s="23" t="s">
        <v>23</v>
      </c>
      <c r="T11" s="23" t="s">
        <v>18</v>
      </c>
      <c r="U11" s="23" t="s">
        <v>20</v>
      </c>
      <c r="V11" s="23" t="s">
        <v>22</v>
      </c>
    </row>
    <row r="12" spans="1:22">
      <c r="B12" s="15"/>
      <c r="C12" s="15" t="s">
        <v>5</v>
      </c>
      <c r="D12" s="15"/>
      <c r="E12" s="15"/>
      <c r="F12" s="15">
        <v>360</v>
      </c>
      <c r="G12" s="15"/>
      <c r="H12" s="15" t="s">
        <v>6</v>
      </c>
      <c r="I12" s="15"/>
      <c r="J12" s="15" t="s">
        <v>41</v>
      </c>
      <c r="K12" s="15"/>
      <c r="L12" s="15" t="s">
        <v>7</v>
      </c>
      <c r="M12" s="15"/>
      <c r="N12" s="7"/>
      <c r="O12" s="19"/>
      <c r="P12" s="20">
        <v>1965</v>
      </c>
      <c r="Q12" s="21">
        <v>1964</v>
      </c>
      <c r="R12" s="22"/>
      <c r="S12" s="23" t="s">
        <v>17</v>
      </c>
      <c r="T12" s="23" t="s">
        <v>19</v>
      </c>
      <c r="U12" s="23" t="s">
        <v>17</v>
      </c>
      <c r="V12" s="23" t="s">
        <v>21</v>
      </c>
    </row>
    <row r="13" spans="1:22">
      <c r="B13" s="24">
        <v>1958</v>
      </c>
      <c r="C13" s="24">
        <v>0</v>
      </c>
      <c r="D13" s="24">
        <v>0</v>
      </c>
      <c r="E13" s="24"/>
      <c r="F13" s="24"/>
      <c r="G13" s="24"/>
      <c r="H13" s="24"/>
      <c r="I13" s="24"/>
      <c r="J13" s="25"/>
      <c r="K13" s="25"/>
      <c r="L13" s="24"/>
      <c r="M13" s="24"/>
      <c r="N13" s="7"/>
      <c r="O13" s="26">
        <v>1958</v>
      </c>
      <c r="P13" s="27">
        <v>0</v>
      </c>
      <c r="Q13" s="27">
        <v>0</v>
      </c>
      <c r="R13" s="27"/>
      <c r="S13" s="27"/>
      <c r="T13" s="27"/>
      <c r="U13" s="27"/>
      <c r="V13" s="19"/>
    </row>
    <row r="14" spans="1:22">
      <c r="B14" s="24">
        <f t="shared" ref="B14:B27" si="0">B13+1</f>
        <v>1959</v>
      </c>
      <c r="C14" s="25">
        <f t="shared" ref="C14:C27" si="1">($B$4+$B$5*D13/$B$6)*($B$6-D13-I13-K13)-H14</f>
        <v>508.55399999999997</v>
      </c>
      <c r="D14" s="25">
        <f>C14+D13</f>
        <v>508.55399999999997</v>
      </c>
      <c r="E14" s="25"/>
      <c r="F14" s="25"/>
      <c r="G14" s="25"/>
      <c r="H14" s="25"/>
      <c r="I14" s="25"/>
      <c r="J14" s="25"/>
      <c r="K14" s="25"/>
      <c r="L14" s="25"/>
      <c r="M14" s="25"/>
      <c r="N14" s="7"/>
      <c r="O14" s="26">
        <f t="shared" ref="O14:O27" si="2">O13+1</f>
        <v>1959</v>
      </c>
      <c r="P14" s="27"/>
      <c r="Q14" s="27"/>
      <c r="R14" s="27">
        <f t="shared" ref="R14:R27" si="3">P14-Q14</f>
        <v>0</v>
      </c>
      <c r="S14" s="27"/>
      <c r="T14" s="28"/>
      <c r="U14" s="29"/>
      <c r="V14" s="19"/>
    </row>
    <row r="15" spans="1:22">
      <c r="B15" s="24">
        <f t="shared" si="0"/>
        <v>1960</v>
      </c>
      <c r="C15" s="25">
        <f t="shared" si="1"/>
        <v>900.18126431999997</v>
      </c>
      <c r="D15" s="25">
        <f t="shared" ref="D15:D25" si="4">C15+D14</f>
        <v>1408.7352643199999</v>
      </c>
      <c r="E15" s="25"/>
      <c r="F15" s="25"/>
      <c r="G15" s="25"/>
      <c r="H15" s="25"/>
      <c r="I15" s="25"/>
      <c r="J15" s="25"/>
      <c r="K15" s="25"/>
      <c r="L15" s="25"/>
      <c r="M15" s="25"/>
      <c r="N15" s="7"/>
      <c r="O15" s="26">
        <f t="shared" si="2"/>
        <v>1960</v>
      </c>
      <c r="P15" s="27"/>
      <c r="Q15" s="27"/>
      <c r="R15" s="27">
        <f t="shared" si="3"/>
        <v>0</v>
      </c>
      <c r="S15" s="27"/>
      <c r="T15" s="28"/>
      <c r="U15" s="29"/>
      <c r="V15" s="19"/>
    </row>
    <row r="16" spans="1:22">
      <c r="B16" s="24">
        <f t="shared" si="0"/>
        <v>1961</v>
      </c>
      <c r="C16" s="25">
        <f t="shared" si="1"/>
        <v>1513.7979665435175</v>
      </c>
      <c r="D16" s="25">
        <f t="shared" si="4"/>
        <v>2922.5332308635175</v>
      </c>
      <c r="E16" s="25"/>
      <c r="F16" s="25"/>
      <c r="G16" s="25"/>
      <c r="H16" s="25"/>
      <c r="I16" s="25"/>
      <c r="J16" s="25"/>
      <c r="K16" s="25"/>
      <c r="L16" s="25"/>
      <c r="M16" s="25"/>
      <c r="N16" s="7"/>
      <c r="O16" s="26">
        <f t="shared" si="2"/>
        <v>1961</v>
      </c>
      <c r="P16" s="27"/>
      <c r="Q16" s="27"/>
      <c r="R16" s="27">
        <f t="shared" si="3"/>
        <v>0</v>
      </c>
      <c r="S16" s="27"/>
      <c r="T16" s="28"/>
      <c r="U16" s="29"/>
      <c r="V16" s="19"/>
    </row>
    <row r="17" spans="2:22">
      <c r="B17" s="24">
        <f t="shared" si="0"/>
        <v>1962</v>
      </c>
      <c r="C17" s="25">
        <f t="shared" si="1"/>
        <v>2316.3269880858666</v>
      </c>
      <c r="D17" s="25">
        <f t="shared" si="4"/>
        <v>5238.860218949384</v>
      </c>
      <c r="E17" s="25"/>
      <c r="F17" s="25"/>
      <c r="G17" s="25"/>
      <c r="H17" s="25"/>
      <c r="I17" s="25"/>
      <c r="J17" s="25"/>
      <c r="K17" s="25"/>
      <c r="L17" s="25"/>
      <c r="M17" s="25"/>
      <c r="N17" s="7"/>
      <c r="O17" s="26">
        <f t="shared" si="2"/>
        <v>1962</v>
      </c>
      <c r="P17" s="27"/>
      <c r="Q17" s="27"/>
      <c r="R17" s="27">
        <f t="shared" si="3"/>
        <v>0</v>
      </c>
      <c r="S17" s="27"/>
      <c r="T17" s="28"/>
      <c r="U17" s="29"/>
      <c r="V17" s="19"/>
    </row>
    <row r="18" spans="2:22">
      <c r="B18" s="24">
        <f t="shared" si="0"/>
        <v>1963</v>
      </c>
      <c r="C18" s="25">
        <f t="shared" si="1"/>
        <v>2987.4604492326202</v>
      </c>
      <c r="D18" s="25">
        <f t="shared" si="4"/>
        <v>8226.3206681820047</v>
      </c>
      <c r="E18" s="25"/>
      <c r="F18" s="25"/>
      <c r="G18" s="25"/>
      <c r="H18" s="25"/>
      <c r="I18" s="25"/>
      <c r="J18" s="25"/>
      <c r="K18" s="25"/>
      <c r="L18" s="25"/>
      <c r="M18" s="25"/>
      <c r="N18" s="7"/>
      <c r="O18" s="26">
        <f t="shared" si="2"/>
        <v>1963</v>
      </c>
      <c r="P18" s="27"/>
      <c r="Q18" s="27"/>
      <c r="R18" s="27">
        <f t="shared" si="3"/>
        <v>0</v>
      </c>
      <c r="S18" s="27"/>
      <c r="T18" s="28"/>
      <c r="U18" s="29"/>
      <c r="V18" s="19"/>
    </row>
    <row r="19" spans="2:22">
      <c r="B19" s="24">
        <f t="shared" si="0"/>
        <v>1964</v>
      </c>
      <c r="C19" s="25">
        <f t="shared" si="1"/>
        <v>2545.9269030639371</v>
      </c>
      <c r="D19" s="25">
        <f t="shared" si="4"/>
        <v>10772.247571245942</v>
      </c>
      <c r="E19" s="25"/>
      <c r="F19" s="25">
        <f>H19+J19+L19</f>
        <v>1025.848</v>
      </c>
      <c r="G19" s="25">
        <f t="shared" ref="G19" si="5">F19+G18</f>
        <v>1025.848</v>
      </c>
      <c r="H19" s="25">
        <f t="shared" ref="H19:H27" si="6">($B$4+$B$5*G18/$B$7)*D18</f>
        <v>312.60018539091618</v>
      </c>
      <c r="I19" s="25">
        <f t="shared" ref="I19" si="7">I18+H19</f>
        <v>312.60018539091618</v>
      </c>
      <c r="J19" s="25">
        <f t="shared" ref="J19:J27" si="8">($B$4+$B$5*G18/$B$7)*($B$6-D18-I18-K18)</f>
        <v>195.95381460908382</v>
      </c>
      <c r="K19" s="25">
        <f t="shared" ref="K19" si="9">J19+K18</f>
        <v>195.95381460908382</v>
      </c>
      <c r="L19" s="25">
        <f t="shared" ref="L19:L27" si="10">($B$4+$B$5*G18/$B$7)*($B$7-$B$6-M18)</f>
        <v>517.29399999999998</v>
      </c>
      <c r="M19" s="25">
        <f t="shared" ref="M19" si="11">M18+L19</f>
        <v>517.29399999999998</v>
      </c>
      <c r="N19" s="7"/>
      <c r="O19" s="26">
        <f t="shared" si="2"/>
        <v>1964</v>
      </c>
      <c r="P19" s="30">
        <f t="shared" ref="P19:P27" si="12">D38</f>
        <v>11084.847756636858</v>
      </c>
      <c r="Q19" s="31">
        <f t="shared" ref="Q19:Q27" si="13">D19</f>
        <v>10772.247571245942</v>
      </c>
      <c r="R19" s="32">
        <f t="shared" si="3"/>
        <v>312.60018539091652</v>
      </c>
      <c r="S19" s="27">
        <f>4500*12</f>
        <v>54000</v>
      </c>
      <c r="T19" s="28">
        <v>0.61</v>
      </c>
      <c r="U19" s="29">
        <f t="shared" ref="U19:U27" si="14">S19*T19</f>
        <v>32940</v>
      </c>
      <c r="V19" s="29">
        <f t="shared" ref="V19:V27" si="15">R19*U19</f>
        <v>10297050.106776791</v>
      </c>
    </row>
    <row r="20" spans="2:22">
      <c r="B20" s="24">
        <f t="shared" si="0"/>
        <v>1965</v>
      </c>
      <c r="C20" s="25">
        <f t="shared" si="1"/>
        <v>748.05372361448326</v>
      </c>
      <c r="D20" s="25">
        <f t="shared" si="4"/>
        <v>11520.301294860425</v>
      </c>
      <c r="E20" s="25"/>
      <c r="F20" s="25">
        <f>H20+J20+L20</f>
        <v>1815.8330278399999</v>
      </c>
      <c r="G20" s="25">
        <f t="shared" ref="G20:G25" si="16">F20+G19</f>
        <v>2841.6810278399998</v>
      </c>
      <c r="H20" s="25">
        <f t="shared" si="6"/>
        <v>753.19555018151618</v>
      </c>
      <c r="I20" s="25">
        <f t="shared" ref="I20:I25" si="17">I19+H20</f>
        <v>1065.7957355724325</v>
      </c>
      <c r="J20" s="25">
        <f t="shared" si="8"/>
        <v>146.98571413848373</v>
      </c>
      <c r="K20" s="25">
        <f t="shared" ref="K20:K25" si="18">J20+K19</f>
        <v>342.93952874756758</v>
      </c>
      <c r="L20" s="25">
        <f t="shared" si="10"/>
        <v>915.65176351999992</v>
      </c>
      <c r="M20" s="25">
        <f t="shared" ref="M20:M25" si="19">M19+L20</f>
        <v>1432.9457635199999</v>
      </c>
      <c r="N20" s="7"/>
      <c r="O20" s="26">
        <f t="shared" si="2"/>
        <v>1965</v>
      </c>
      <c r="P20" s="30">
        <f t="shared" si="12"/>
        <v>12349.901313456396</v>
      </c>
      <c r="Q20" s="31">
        <f t="shared" si="13"/>
        <v>11520.301294860425</v>
      </c>
      <c r="R20" s="32">
        <f t="shared" si="3"/>
        <v>829.60001859597105</v>
      </c>
      <c r="S20" s="27">
        <f>4500*12</f>
        <v>54000</v>
      </c>
      <c r="T20" s="28">
        <v>0.62</v>
      </c>
      <c r="U20" s="29">
        <f t="shared" si="14"/>
        <v>33480</v>
      </c>
      <c r="V20" s="29">
        <f t="shared" si="15"/>
        <v>27775008.622593112</v>
      </c>
    </row>
    <row r="21" spans="2:22">
      <c r="B21" s="24">
        <f t="shared" si="0"/>
        <v>1966</v>
      </c>
      <c r="C21" s="25">
        <f t="shared" si="1"/>
        <v>-1110.9024885049068</v>
      </c>
      <c r="D21" s="25">
        <f t="shared" si="4"/>
        <v>10409.398806355517</v>
      </c>
      <c r="E21" s="25"/>
      <c r="F21" s="25">
        <f t="shared" ref="F21:F25" si="20">H21+J21+L21</f>
        <v>3053.6120380190387</v>
      </c>
      <c r="G21" s="25">
        <f t="shared" si="16"/>
        <v>5895.2930658590385</v>
      </c>
      <c r="H21" s="25">
        <f t="shared" si="6"/>
        <v>1456.4074754555695</v>
      </c>
      <c r="I21" s="25">
        <f t="shared" si="17"/>
        <v>2522.203211028002</v>
      </c>
      <c r="J21" s="25">
        <f t="shared" si="8"/>
        <v>57.390491087947879</v>
      </c>
      <c r="K21" s="25">
        <f t="shared" si="18"/>
        <v>400.33001983551549</v>
      </c>
      <c r="L21" s="25">
        <f t="shared" si="10"/>
        <v>1539.8140714755216</v>
      </c>
      <c r="M21" s="25">
        <f t="shared" si="19"/>
        <v>2972.7598349955215</v>
      </c>
      <c r="N21" s="7"/>
      <c r="O21" s="26">
        <f t="shared" si="2"/>
        <v>1966</v>
      </c>
      <c r="P21" s="30">
        <f t="shared" si="12"/>
        <v>11912.933043456042</v>
      </c>
      <c r="Q21" s="31">
        <f t="shared" si="13"/>
        <v>10409.398806355517</v>
      </c>
      <c r="R21" s="32">
        <f t="shared" si="3"/>
        <v>1503.5342371005245</v>
      </c>
      <c r="S21" s="27">
        <f>6600*12</f>
        <v>79200</v>
      </c>
      <c r="T21" s="28">
        <v>0.62</v>
      </c>
      <c r="U21" s="29">
        <f t="shared" si="14"/>
        <v>49104</v>
      </c>
      <c r="V21" s="29">
        <f t="shared" si="15"/>
        <v>73829545.178584158</v>
      </c>
    </row>
    <row r="22" spans="2:22">
      <c r="B22" s="24">
        <f t="shared" si="0"/>
        <v>1967</v>
      </c>
      <c r="C22" s="25">
        <f t="shared" si="1"/>
        <v>-2269.7124244520573</v>
      </c>
      <c r="D22" s="25">
        <f t="shared" si="4"/>
        <v>8139.6863819034597</v>
      </c>
      <c r="E22" s="25"/>
      <c r="F22" s="25">
        <f t="shared" si="20"/>
        <v>4672.4623305959849</v>
      </c>
      <c r="G22" s="25">
        <f t="shared" si="16"/>
        <v>10567.755396455024</v>
      </c>
      <c r="H22" s="25">
        <f t="shared" si="6"/>
        <v>2305.018687698629</v>
      </c>
      <c r="I22" s="25">
        <f t="shared" si="17"/>
        <v>4827.2218987266315</v>
      </c>
      <c r="J22" s="25">
        <f t="shared" si="8"/>
        <v>11.308300387237859</v>
      </c>
      <c r="K22" s="25">
        <f t="shared" si="18"/>
        <v>411.63832022275335</v>
      </c>
      <c r="L22" s="25">
        <f t="shared" si="10"/>
        <v>2356.1353425101174</v>
      </c>
      <c r="M22" s="25">
        <f t="shared" si="19"/>
        <v>5328.8951775056394</v>
      </c>
      <c r="N22" s="7"/>
      <c r="O22" s="26">
        <f t="shared" si="2"/>
        <v>1967</v>
      </c>
      <c r="P22" s="30">
        <f t="shared" si="12"/>
        <v>10455.07880714392</v>
      </c>
      <c r="Q22" s="31">
        <f t="shared" si="13"/>
        <v>8139.6863819034597</v>
      </c>
      <c r="R22" s="32">
        <f t="shared" si="3"/>
        <v>2315.3924252404604</v>
      </c>
      <c r="S22" s="27">
        <f>6480*12</f>
        <v>77760</v>
      </c>
      <c r="T22" s="28">
        <v>0.59</v>
      </c>
      <c r="U22" s="29">
        <f t="shared" si="14"/>
        <v>45878.399999999994</v>
      </c>
      <c r="V22" s="29">
        <f t="shared" si="15"/>
        <v>106226499.84215192</v>
      </c>
    </row>
    <row r="23" spans="2:22">
      <c r="B23" s="24">
        <f t="shared" si="0"/>
        <v>1968</v>
      </c>
      <c r="C23" s="25">
        <f t="shared" si="1"/>
        <v>-2983.3823804409744</v>
      </c>
      <c r="D23" s="25">
        <f t="shared" si="4"/>
        <v>5156.3040014624858</v>
      </c>
      <c r="E23" s="25"/>
      <c r="F23" s="25">
        <f t="shared" si="20"/>
        <v>6026.2633406174864</v>
      </c>
      <c r="G23" s="25">
        <f t="shared" si="16"/>
        <v>16594.018737072511</v>
      </c>
      <c r="H23" s="25">
        <f t="shared" si="6"/>
        <v>2985.8268385414422</v>
      </c>
      <c r="I23" s="25">
        <f t="shared" si="17"/>
        <v>7813.0487372680736</v>
      </c>
      <c r="J23" s="25">
        <f t="shared" si="8"/>
        <v>1.6336106911780994</v>
      </c>
      <c r="K23" s="25">
        <f t="shared" si="18"/>
        <v>413.27193091393144</v>
      </c>
      <c r="L23" s="25">
        <f t="shared" si="10"/>
        <v>3038.8028913848657</v>
      </c>
      <c r="M23" s="25">
        <f t="shared" si="19"/>
        <v>8367.698068890506</v>
      </c>
      <c r="N23" s="7"/>
      <c r="O23" s="26">
        <f t="shared" si="2"/>
        <v>1968</v>
      </c>
      <c r="P23" s="30">
        <f t="shared" si="12"/>
        <v>8143.6853701321352</v>
      </c>
      <c r="Q23" s="31">
        <f t="shared" si="13"/>
        <v>5156.3040014624858</v>
      </c>
      <c r="R23" s="32">
        <f t="shared" si="3"/>
        <v>2987.3813686696494</v>
      </c>
      <c r="S23" s="27">
        <f>6200*12</f>
        <v>74400</v>
      </c>
      <c r="T23" s="28">
        <v>0.57999999999999996</v>
      </c>
      <c r="U23" s="29">
        <f t="shared" si="14"/>
        <v>43152</v>
      </c>
      <c r="V23" s="29">
        <f t="shared" si="15"/>
        <v>128911480.82083271</v>
      </c>
    </row>
    <row r="24" spans="2:22">
      <c r="B24" s="24">
        <f t="shared" si="0"/>
        <v>1969</v>
      </c>
      <c r="C24" s="25">
        <f t="shared" si="1"/>
        <v>-2858.1832946912614</v>
      </c>
      <c r="D24" s="25">
        <f t="shared" si="4"/>
        <v>2298.1207067712244</v>
      </c>
      <c r="E24" s="25"/>
      <c r="F24" s="25">
        <f t="shared" si="20"/>
        <v>5766.1807726165443</v>
      </c>
      <c r="G24" s="25">
        <f t="shared" si="16"/>
        <v>22360.199509689053</v>
      </c>
      <c r="H24" s="25">
        <f t="shared" si="6"/>
        <v>2858.3190297567444</v>
      </c>
      <c r="I24" s="25">
        <f t="shared" si="17"/>
        <v>10671.367767024818</v>
      </c>
      <c r="J24" s="25">
        <f t="shared" si="8"/>
        <v>0.20805869810874666</v>
      </c>
      <c r="K24" s="25">
        <f t="shared" si="18"/>
        <v>413.47998961204019</v>
      </c>
      <c r="L24" s="25">
        <f t="shared" si="10"/>
        <v>2907.6536841616908</v>
      </c>
      <c r="M24" s="25">
        <f t="shared" si="19"/>
        <v>11275.351753052197</v>
      </c>
      <c r="N24" s="7"/>
      <c r="O24" s="26">
        <f t="shared" si="2"/>
        <v>1969</v>
      </c>
      <c r="P24" s="30">
        <f t="shared" si="12"/>
        <v>5156.6411483402962</v>
      </c>
      <c r="Q24" s="31">
        <f t="shared" si="13"/>
        <v>2298.1207067712244</v>
      </c>
      <c r="R24" s="32">
        <f t="shared" si="3"/>
        <v>2858.5204415690719</v>
      </c>
      <c r="S24" s="27">
        <f>6200*12</f>
        <v>74400</v>
      </c>
      <c r="T24" s="28">
        <v>0.61</v>
      </c>
      <c r="U24" s="29">
        <f t="shared" si="14"/>
        <v>45384</v>
      </c>
      <c r="V24" s="29">
        <f t="shared" si="15"/>
        <v>129731091.72017075</v>
      </c>
    </row>
    <row r="25" spans="2:22">
      <c r="B25" s="24">
        <f t="shared" si="0"/>
        <v>1970</v>
      </c>
      <c r="C25" s="25">
        <f t="shared" si="1"/>
        <v>-1686.2488841159657</v>
      </c>
      <c r="D25" s="25">
        <f t="shared" si="4"/>
        <v>611.87182265525871</v>
      </c>
      <c r="E25" s="25"/>
      <c r="F25" s="25">
        <f t="shared" si="20"/>
        <v>3401.5358829373554</v>
      </c>
      <c r="G25" s="25">
        <f t="shared" si="16"/>
        <v>25761.735392626408</v>
      </c>
      <c r="H25" s="25">
        <f t="shared" si="6"/>
        <v>1686.2546314799115</v>
      </c>
      <c r="I25" s="25">
        <f t="shared" si="17"/>
        <v>12357.622398504729</v>
      </c>
      <c r="J25" s="25">
        <f t="shared" si="8"/>
        <v>2.3140091826297008E-2</v>
      </c>
      <c r="K25" s="25">
        <f t="shared" si="18"/>
        <v>413.50312970386648</v>
      </c>
      <c r="L25" s="25">
        <f t="shared" si="10"/>
        <v>1715.2581113656179</v>
      </c>
      <c r="M25" s="25">
        <f t="shared" si="19"/>
        <v>12990.609864417815</v>
      </c>
      <c r="N25" s="7"/>
      <c r="O25" s="26">
        <f t="shared" si="2"/>
        <v>1970</v>
      </c>
      <c r="P25" s="30">
        <f t="shared" si="12"/>
        <v>2298.1490358595038</v>
      </c>
      <c r="Q25" s="31">
        <f t="shared" si="13"/>
        <v>611.87182265525871</v>
      </c>
      <c r="R25" s="32">
        <f t="shared" si="3"/>
        <v>1686.2772132042451</v>
      </c>
      <c r="S25" s="27">
        <f>6200*12</f>
        <v>74400</v>
      </c>
      <c r="T25" s="28">
        <v>0.63</v>
      </c>
      <c r="U25" s="29">
        <f t="shared" si="14"/>
        <v>46872</v>
      </c>
      <c r="V25" s="29">
        <f t="shared" si="15"/>
        <v>79039185.537309378</v>
      </c>
    </row>
    <row r="26" spans="2:22">
      <c r="B26" s="24">
        <f t="shared" si="0"/>
        <v>1971</v>
      </c>
      <c r="C26" s="25">
        <f t="shared" si="1"/>
        <v>-513.72430035885839</v>
      </c>
      <c r="D26" s="25">
        <f t="shared" ref="D26:D27" si="21">C26+D25</f>
        <v>98.147522296400325</v>
      </c>
      <c r="E26" s="25"/>
      <c r="F26" s="25">
        <f t="shared" ref="F26:F27" si="22">H26+J26+L26</f>
        <v>1036.2823523279208</v>
      </c>
      <c r="G26" s="25">
        <f t="shared" ref="G26:G27" si="23">F26+G25</f>
        <v>26798.01774495433</v>
      </c>
      <c r="H26" s="25">
        <f t="shared" si="6"/>
        <v>513.72450276575239</v>
      </c>
      <c r="I26" s="25">
        <f t="shared" ref="I26:I27" si="24">I25+H26</f>
        <v>12871.346901270481</v>
      </c>
      <c r="J26" s="25">
        <f t="shared" si="8"/>
        <v>2.224201374552824E-3</v>
      </c>
      <c r="K26" s="25">
        <f t="shared" ref="K26:K27" si="25">J26+K25</f>
        <v>413.50535390524101</v>
      </c>
      <c r="L26" s="25">
        <f t="shared" si="10"/>
        <v>522.55562536079378</v>
      </c>
      <c r="M26" s="25">
        <f t="shared" ref="M26:M27" si="26">M25+L26</f>
        <v>13513.165489778608</v>
      </c>
      <c r="N26" s="7"/>
      <c r="O26" s="26">
        <f t="shared" si="2"/>
        <v>1971</v>
      </c>
      <c r="P26" s="30">
        <f t="shared" si="12"/>
        <v>611.87420236045295</v>
      </c>
      <c r="Q26" s="31">
        <f t="shared" si="13"/>
        <v>98.147522296400325</v>
      </c>
      <c r="R26" s="32">
        <f t="shared" si="3"/>
        <v>513.72668006405263</v>
      </c>
      <c r="S26" s="27">
        <f>6200*12</f>
        <v>74400</v>
      </c>
      <c r="T26" s="28">
        <v>0.62</v>
      </c>
      <c r="U26" s="29">
        <f t="shared" si="14"/>
        <v>46128</v>
      </c>
      <c r="V26" s="29">
        <f t="shared" si="15"/>
        <v>23697184.297994621</v>
      </c>
    </row>
    <row r="27" spans="2:22">
      <c r="B27" s="24">
        <f t="shared" si="0"/>
        <v>1972</v>
      </c>
      <c r="C27" s="25">
        <f t="shared" si="1"/>
        <v>-85.568890621876648</v>
      </c>
      <c r="D27" s="25">
        <f t="shared" si="21"/>
        <v>12.578631674523677</v>
      </c>
      <c r="E27" s="25"/>
      <c r="F27" s="25">
        <f t="shared" si="22"/>
        <v>172.60877785042379</v>
      </c>
      <c r="G27" s="25">
        <f t="shared" si="23"/>
        <v>26970.626522804752</v>
      </c>
      <c r="H27" s="25">
        <f t="shared" si="6"/>
        <v>85.568900448784873</v>
      </c>
      <c r="I27" s="25">
        <f t="shared" si="24"/>
        <v>12956.915801719266</v>
      </c>
      <c r="J27" s="25">
        <f t="shared" si="8"/>
        <v>1.9400862502304023E-4</v>
      </c>
      <c r="K27" s="25">
        <f t="shared" si="25"/>
        <v>413.50554791386605</v>
      </c>
      <c r="L27" s="25">
        <f t="shared" si="10"/>
        <v>87.039683393013874</v>
      </c>
      <c r="M27" s="25">
        <f t="shared" si="26"/>
        <v>13600.205173171622</v>
      </c>
      <c r="N27" s="7"/>
      <c r="O27" s="26">
        <f t="shared" si="2"/>
        <v>1972</v>
      </c>
      <c r="P27" s="30">
        <f t="shared" si="12"/>
        <v>98.147722192072592</v>
      </c>
      <c r="Q27" s="31">
        <f t="shared" si="13"/>
        <v>12.578631674523677</v>
      </c>
      <c r="R27" s="32">
        <f t="shared" si="3"/>
        <v>85.569090517548915</v>
      </c>
      <c r="S27" s="27">
        <f>3700*12</f>
        <v>44400</v>
      </c>
      <c r="T27" s="28">
        <v>0.61</v>
      </c>
      <c r="U27" s="29">
        <f t="shared" si="14"/>
        <v>27084</v>
      </c>
      <c r="V27" s="29">
        <f t="shared" si="15"/>
        <v>2317553.2475772947</v>
      </c>
    </row>
    <row r="28" spans="2:22">
      <c r="N28" s="7"/>
      <c r="Q28" s="2" t="s">
        <v>27</v>
      </c>
      <c r="R28" s="33">
        <v>0.15</v>
      </c>
      <c r="S28" s="2" t="s">
        <v>29</v>
      </c>
      <c r="V28" s="34">
        <f>NPV(R28,V19:V27)/1000</f>
        <v>297532.64641692687</v>
      </c>
    </row>
    <row r="29" spans="2:22">
      <c r="B29" s="30" t="s">
        <v>39</v>
      </c>
      <c r="C29" s="30"/>
      <c r="N29" s="7"/>
      <c r="O29" s="2" t="s">
        <v>25</v>
      </c>
    </row>
    <row r="30" spans="2:22">
      <c r="B30" s="30"/>
      <c r="C30" s="35" t="s">
        <v>45</v>
      </c>
      <c r="D30" s="35" t="s">
        <v>46</v>
      </c>
      <c r="E30" s="35"/>
      <c r="F30" s="35" t="s">
        <v>47</v>
      </c>
      <c r="G30" s="35" t="s">
        <v>48</v>
      </c>
      <c r="H30" s="35" t="s">
        <v>49</v>
      </c>
      <c r="I30" s="35" t="s">
        <v>50</v>
      </c>
      <c r="J30" s="35" t="s">
        <v>51</v>
      </c>
      <c r="K30" s="35" t="s">
        <v>52</v>
      </c>
      <c r="L30" s="35" t="s">
        <v>53</v>
      </c>
      <c r="M30" s="35" t="s">
        <v>54</v>
      </c>
      <c r="N30" s="7"/>
      <c r="O30" s="19"/>
      <c r="P30" s="20">
        <v>360</v>
      </c>
      <c r="Q30" s="21">
        <v>360</v>
      </c>
      <c r="R30" s="23" t="s">
        <v>21</v>
      </c>
      <c r="S30" s="23" t="s">
        <v>23</v>
      </c>
      <c r="T30" s="23" t="s">
        <v>18</v>
      </c>
      <c r="U30" s="23" t="s">
        <v>20</v>
      </c>
      <c r="V30" s="23" t="s">
        <v>22</v>
      </c>
    </row>
    <row r="31" spans="2:22">
      <c r="B31" s="30"/>
      <c r="C31" s="35" t="s">
        <v>5</v>
      </c>
      <c r="D31" s="35"/>
      <c r="E31" s="35"/>
      <c r="F31" s="35">
        <v>360</v>
      </c>
      <c r="G31" s="35"/>
      <c r="H31" s="35" t="s">
        <v>6</v>
      </c>
      <c r="I31" s="35"/>
      <c r="J31" s="35" t="s">
        <v>41</v>
      </c>
      <c r="K31" s="35"/>
      <c r="L31" s="35" t="s">
        <v>7</v>
      </c>
      <c r="M31" s="35"/>
      <c r="N31" s="7"/>
      <c r="O31" s="19"/>
      <c r="P31" s="20">
        <v>1965</v>
      </c>
      <c r="Q31" s="21">
        <v>1964</v>
      </c>
      <c r="R31" s="23"/>
      <c r="S31" s="23" t="s">
        <v>17</v>
      </c>
      <c r="T31" s="23" t="s">
        <v>19</v>
      </c>
      <c r="U31" s="23" t="s">
        <v>17</v>
      </c>
      <c r="V31" s="23" t="s">
        <v>21</v>
      </c>
    </row>
    <row r="32" spans="2:22">
      <c r="B32" s="24">
        <v>1958</v>
      </c>
      <c r="C32" s="24">
        <v>0</v>
      </c>
      <c r="D32" s="24">
        <v>0</v>
      </c>
      <c r="E32" s="24"/>
      <c r="F32" s="24"/>
      <c r="G32" s="24"/>
      <c r="H32" s="24"/>
      <c r="I32" s="24"/>
      <c r="J32" s="25"/>
      <c r="K32" s="25"/>
      <c r="L32" s="24"/>
      <c r="M32" s="24"/>
      <c r="N32" s="7"/>
      <c r="O32" s="26">
        <v>1958</v>
      </c>
      <c r="P32" s="27"/>
      <c r="Q32" s="27"/>
      <c r="R32" s="27"/>
      <c r="S32" s="27"/>
      <c r="T32" s="27"/>
      <c r="U32" s="27"/>
      <c r="V32" s="27"/>
    </row>
    <row r="33" spans="2:27">
      <c r="B33" s="24">
        <f t="shared" ref="B33:B46" si="27">B32+1</f>
        <v>1959</v>
      </c>
      <c r="C33" s="25">
        <f t="shared" ref="C33:C46" si="28">($B$4+$B$5*D32/$B$6)*($B$6-D32-I32-K32)-H33</f>
        <v>508.55399999999997</v>
      </c>
      <c r="D33" s="25">
        <f>C33+D32</f>
        <v>508.55399999999997</v>
      </c>
      <c r="E33" s="25"/>
      <c r="F33" s="25"/>
      <c r="G33" s="25"/>
      <c r="H33" s="25"/>
      <c r="I33" s="25"/>
      <c r="J33" s="25"/>
      <c r="K33" s="25"/>
      <c r="L33" s="25"/>
      <c r="M33" s="25"/>
      <c r="N33" s="7"/>
      <c r="O33" s="26">
        <f t="shared" ref="O33:O46" si="29">O32+1</f>
        <v>1959</v>
      </c>
      <c r="P33" s="27"/>
      <c r="Q33" s="27"/>
      <c r="R33" s="27">
        <f t="shared" ref="R33:R46" si="30">Q33-P33</f>
        <v>0</v>
      </c>
      <c r="S33" s="27"/>
      <c r="T33" s="36"/>
      <c r="U33" s="27"/>
      <c r="V33" s="27"/>
      <c r="Y33" s="37"/>
      <c r="AA33" s="38"/>
    </row>
    <row r="34" spans="2:27">
      <c r="B34" s="24">
        <f t="shared" si="27"/>
        <v>1960</v>
      </c>
      <c r="C34" s="25">
        <f t="shared" si="28"/>
        <v>900.18126431999997</v>
      </c>
      <c r="D34" s="25">
        <f t="shared" ref="D34:D44" si="31">C34+D33</f>
        <v>1408.7352643199999</v>
      </c>
      <c r="E34" s="25"/>
      <c r="F34" s="25"/>
      <c r="G34" s="25"/>
      <c r="H34" s="25"/>
      <c r="I34" s="25"/>
      <c r="J34" s="25"/>
      <c r="K34" s="25"/>
      <c r="L34" s="25"/>
      <c r="M34" s="25"/>
      <c r="N34" s="7"/>
      <c r="O34" s="26">
        <f t="shared" si="29"/>
        <v>1960</v>
      </c>
      <c r="P34" s="27"/>
      <c r="Q34" s="27"/>
      <c r="R34" s="27">
        <f t="shared" si="30"/>
        <v>0</v>
      </c>
      <c r="S34" s="27"/>
      <c r="T34" s="36"/>
      <c r="U34" s="27"/>
      <c r="V34" s="27"/>
      <c r="AA34" s="38"/>
    </row>
    <row r="35" spans="2:27">
      <c r="B35" s="24">
        <f t="shared" si="27"/>
        <v>1961</v>
      </c>
      <c r="C35" s="25">
        <f t="shared" si="28"/>
        <v>1513.7979665435175</v>
      </c>
      <c r="D35" s="25">
        <f t="shared" si="31"/>
        <v>2922.5332308635175</v>
      </c>
      <c r="E35" s="25"/>
      <c r="F35" s="25"/>
      <c r="G35" s="25"/>
      <c r="H35" s="25"/>
      <c r="I35" s="25"/>
      <c r="J35" s="25"/>
      <c r="K35" s="25"/>
      <c r="L35" s="25"/>
      <c r="M35" s="25"/>
      <c r="N35" s="7"/>
      <c r="O35" s="26">
        <f t="shared" si="29"/>
        <v>1961</v>
      </c>
      <c r="P35" s="27"/>
      <c r="Q35" s="27"/>
      <c r="R35" s="27">
        <f t="shared" si="30"/>
        <v>0</v>
      </c>
      <c r="S35" s="27"/>
      <c r="T35" s="36"/>
      <c r="U35" s="27"/>
      <c r="V35" s="27"/>
      <c r="AA35" s="38"/>
    </row>
    <row r="36" spans="2:27">
      <c r="B36" s="24">
        <f t="shared" si="27"/>
        <v>1962</v>
      </c>
      <c r="C36" s="25">
        <f t="shared" si="28"/>
        <v>2316.3269880858666</v>
      </c>
      <c r="D36" s="25">
        <f t="shared" si="31"/>
        <v>5238.860218949384</v>
      </c>
      <c r="E36" s="25"/>
      <c r="F36" s="25"/>
      <c r="G36" s="25"/>
      <c r="H36" s="25"/>
      <c r="I36" s="25"/>
      <c r="J36" s="25"/>
      <c r="K36" s="25"/>
      <c r="L36" s="25"/>
      <c r="M36" s="25"/>
      <c r="N36" s="7"/>
      <c r="O36" s="26">
        <f t="shared" si="29"/>
        <v>1962</v>
      </c>
      <c r="P36" s="27"/>
      <c r="Q36" s="27"/>
      <c r="R36" s="27">
        <f t="shared" si="30"/>
        <v>0</v>
      </c>
      <c r="S36" s="27"/>
      <c r="T36" s="36"/>
      <c r="U36" s="27"/>
      <c r="V36" s="27"/>
    </row>
    <row r="37" spans="2:27">
      <c r="B37" s="24">
        <f t="shared" si="27"/>
        <v>1963</v>
      </c>
      <c r="C37" s="25">
        <f t="shared" si="28"/>
        <v>2987.4604492326202</v>
      </c>
      <c r="D37" s="25">
        <f t="shared" si="31"/>
        <v>8226.3206681820047</v>
      </c>
      <c r="E37" s="25"/>
      <c r="F37" s="25"/>
      <c r="G37" s="25"/>
      <c r="H37" s="25"/>
      <c r="I37" s="25"/>
      <c r="J37" s="25"/>
      <c r="K37" s="25"/>
      <c r="L37" s="25"/>
      <c r="M37" s="25"/>
      <c r="N37" s="7"/>
      <c r="O37" s="26">
        <f t="shared" si="29"/>
        <v>1963</v>
      </c>
      <c r="P37" s="27"/>
      <c r="Q37" s="27"/>
      <c r="R37" s="27">
        <f t="shared" si="30"/>
        <v>0</v>
      </c>
      <c r="S37" s="27"/>
      <c r="T37" s="36"/>
      <c r="U37" s="27"/>
      <c r="V37" s="27"/>
    </row>
    <row r="38" spans="2:27">
      <c r="B38" s="24">
        <f t="shared" si="27"/>
        <v>1964</v>
      </c>
      <c r="C38" s="25">
        <f t="shared" si="28"/>
        <v>2858.5270884548531</v>
      </c>
      <c r="D38" s="25">
        <f t="shared" si="31"/>
        <v>11084.847756636858</v>
      </c>
      <c r="E38" s="25"/>
      <c r="F38" s="25"/>
      <c r="G38" s="25"/>
      <c r="H38" s="25"/>
      <c r="I38" s="25"/>
      <c r="J38" s="25"/>
      <c r="K38" s="25"/>
      <c r="L38" s="25"/>
      <c r="M38" s="25"/>
      <c r="N38" s="7"/>
      <c r="O38" s="26">
        <f t="shared" si="29"/>
        <v>1964</v>
      </c>
      <c r="P38" s="39">
        <f>G38</f>
        <v>0</v>
      </c>
      <c r="Q38" s="31">
        <f t="shared" ref="Q38:Q46" si="32">G19</f>
        <v>1025.848</v>
      </c>
      <c r="R38" s="32">
        <f t="shared" si="30"/>
        <v>1025.848</v>
      </c>
      <c r="S38" s="27">
        <f>7000*12</f>
        <v>84000</v>
      </c>
      <c r="T38" s="36">
        <v>0.61</v>
      </c>
      <c r="U38" s="29">
        <f t="shared" ref="U38:U46" si="33">T38*S38</f>
        <v>51240</v>
      </c>
      <c r="V38" s="29">
        <f t="shared" ref="V38:V46" si="34">R38*U38</f>
        <v>52564451.519999996</v>
      </c>
      <c r="AA38" s="38"/>
    </row>
    <row r="39" spans="2:27">
      <c r="B39" s="24">
        <f t="shared" si="27"/>
        <v>1965</v>
      </c>
      <c r="C39" s="25">
        <f t="shared" si="28"/>
        <v>1265.0535568195369</v>
      </c>
      <c r="D39" s="25">
        <f t="shared" si="31"/>
        <v>12349.901313456396</v>
      </c>
      <c r="E39" s="25"/>
      <c r="F39" s="25">
        <f>H39+J39+L39</f>
        <v>1025.848</v>
      </c>
      <c r="G39" s="25">
        <f t="shared" ref="G39:G44" si="35">F39+G38</f>
        <v>1025.848</v>
      </c>
      <c r="H39" s="25">
        <f t="shared" ref="H39:H46" si="36">($B$4+$B$5*G38/$B$7)*D38</f>
        <v>421.22421475220062</v>
      </c>
      <c r="I39" s="25">
        <f t="shared" ref="I39:I44" si="37">I38+H39</f>
        <v>421.22421475220062</v>
      </c>
      <c r="J39" s="25">
        <f t="shared" ref="J39:J46" si="38">($B$4+$B$5*G38/$B$7)*($B$6-D38-I38-K38)</f>
        <v>87.329785247799379</v>
      </c>
      <c r="K39" s="25">
        <f t="shared" ref="K39:K44" si="39">J39+K38</f>
        <v>87.329785247799379</v>
      </c>
      <c r="L39" s="25">
        <f t="shared" ref="L39:L46" si="40">($B$4+$B$5*G38/$B$7)*($B$7-$B$6-M38)</f>
        <v>517.29399999999998</v>
      </c>
      <c r="M39" s="25">
        <f t="shared" ref="M39:M44" si="41">M38+L39</f>
        <v>517.29399999999998</v>
      </c>
      <c r="N39" s="7"/>
      <c r="O39" s="26">
        <f t="shared" si="29"/>
        <v>1965</v>
      </c>
      <c r="P39" s="39">
        <f t="shared" ref="P39:P46" si="42">G39</f>
        <v>1025.848</v>
      </c>
      <c r="Q39" s="31">
        <f t="shared" si="32"/>
        <v>2841.6810278399998</v>
      </c>
      <c r="R39" s="32">
        <f t="shared" si="30"/>
        <v>1815.8330278399999</v>
      </c>
      <c r="S39" s="27">
        <f>7200*12</f>
        <v>86400</v>
      </c>
      <c r="T39" s="36">
        <v>0.62</v>
      </c>
      <c r="U39" s="29">
        <f t="shared" si="33"/>
        <v>53568</v>
      </c>
      <c r="V39" s="29">
        <f t="shared" si="34"/>
        <v>97270543.635333121</v>
      </c>
      <c r="AA39" s="38"/>
    </row>
    <row r="40" spans="2:27">
      <c r="B40" s="24">
        <f t="shared" si="27"/>
        <v>1966</v>
      </c>
      <c r="C40" s="25">
        <f t="shared" si="28"/>
        <v>-436.96827000035466</v>
      </c>
      <c r="D40" s="25">
        <f t="shared" si="31"/>
        <v>11912.933043456042</v>
      </c>
      <c r="E40" s="25"/>
      <c r="F40" s="25">
        <f t="shared" ref="F40:F44" si="43">H40+J40+L40</f>
        <v>1815.8330278399999</v>
      </c>
      <c r="G40" s="25">
        <f t="shared" si="35"/>
        <v>2841.6810278399998</v>
      </c>
      <c r="H40" s="25">
        <f t="shared" si="36"/>
        <v>863.50509983687118</v>
      </c>
      <c r="I40" s="25">
        <f t="shared" si="37"/>
        <v>1284.7293145890717</v>
      </c>
      <c r="J40" s="25">
        <f t="shared" si="38"/>
        <v>36.676164483128815</v>
      </c>
      <c r="K40" s="25">
        <f t="shared" si="39"/>
        <v>124.00594973092819</v>
      </c>
      <c r="L40" s="25">
        <f t="shared" si="40"/>
        <v>915.65176351999992</v>
      </c>
      <c r="M40" s="25">
        <f t="shared" si="41"/>
        <v>1432.9457635199999</v>
      </c>
      <c r="N40" s="7"/>
      <c r="O40" s="26">
        <f t="shared" si="29"/>
        <v>1966</v>
      </c>
      <c r="P40" s="39">
        <f t="shared" si="42"/>
        <v>2841.6810278399998</v>
      </c>
      <c r="Q40" s="31">
        <f t="shared" si="32"/>
        <v>5895.2930658590385</v>
      </c>
      <c r="R40" s="32">
        <f t="shared" si="30"/>
        <v>3053.6120380190387</v>
      </c>
      <c r="S40" s="27">
        <f>7500*12</f>
        <v>90000</v>
      </c>
      <c r="T40" s="36">
        <v>0.62</v>
      </c>
      <c r="U40" s="29">
        <f t="shared" si="33"/>
        <v>55800</v>
      </c>
      <c r="V40" s="29">
        <f t="shared" si="34"/>
        <v>170391551.72146237</v>
      </c>
      <c r="AA40" s="38"/>
    </row>
    <row r="41" spans="2:27">
      <c r="B41" s="24">
        <f t="shared" si="27"/>
        <v>1967</v>
      </c>
      <c r="C41" s="25">
        <f t="shared" si="28"/>
        <v>-1457.8542363121223</v>
      </c>
      <c r="D41" s="25">
        <f t="shared" si="31"/>
        <v>10455.07880714392</v>
      </c>
      <c r="E41" s="25"/>
      <c r="F41" s="25">
        <f t="shared" si="43"/>
        <v>3053.6120380190391</v>
      </c>
      <c r="G41" s="25">
        <f t="shared" si="35"/>
        <v>5895.2930658590394</v>
      </c>
      <c r="H41" s="25">
        <f t="shared" si="36"/>
        <v>1506.0443555266629</v>
      </c>
      <c r="I41" s="25">
        <f t="shared" si="37"/>
        <v>2790.7736701157346</v>
      </c>
      <c r="J41" s="25">
        <f t="shared" si="38"/>
        <v>7.7536110168545447</v>
      </c>
      <c r="K41" s="25">
        <f t="shared" si="39"/>
        <v>131.75956074778273</v>
      </c>
      <c r="L41" s="25">
        <f t="shared" si="40"/>
        <v>1539.8140714755216</v>
      </c>
      <c r="M41" s="25">
        <f t="shared" si="41"/>
        <v>2972.7598349955215</v>
      </c>
      <c r="N41" s="7"/>
      <c r="O41" s="26">
        <f t="shared" si="29"/>
        <v>1967</v>
      </c>
      <c r="P41" s="39">
        <f t="shared" si="42"/>
        <v>5895.2930658590394</v>
      </c>
      <c r="Q41" s="31">
        <f t="shared" si="32"/>
        <v>10567.755396455024</v>
      </c>
      <c r="R41" s="32">
        <f t="shared" si="30"/>
        <v>4672.4623305959849</v>
      </c>
      <c r="S41" s="27">
        <f>8500*12</f>
        <v>102000</v>
      </c>
      <c r="T41" s="36">
        <v>0.59</v>
      </c>
      <c r="U41" s="29">
        <f t="shared" si="33"/>
        <v>60180</v>
      </c>
      <c r="V41" s="29">
        <f t="shared" si="34"/>
        <v>281188783.05526638</v>
      </c>
    </row>
    <row r="42" spans="2:27">
      <c r="B42" s="24">
        <f t="shared" si="27"/>
        <v>1968</v>
      </c>
      <c r="C42" s="25">
        <f t="shared" si="28"/>
        <v>-2311.393437011785</v>
      </c>
      <c r="D42" s="25">
        <f t="shared" si="31"/>
        <v>8143.6853701321352</v>
      </c>
      <c r="E42" s="25"/>
      <c r="F42" s="25">
        <f t="shared" si="43"/>
        <v>4672.4623305959849</v>
      </c>
      <c r="G42" s="25">
        <f t="shared" si="35"/>
        <v>10567.755396455024</v>
      </c>
      <c r="H42" s="25">
        <f t="shared" si="36"/>
        <v>2315.1338977535142</v>
      </c>
      <c r="I42" s="25">
        <f t="shared" si="37"/>
        <v>5105.9075678692489</v>
      </c>
      <c r="J42" s="25">
        <f t="shared" si="38"/>
        <v>1.1930903323527087</v>
      </c>
      <c r="K42" s="25">
        <f t="shared" si="39"/>
        <v>132.95265108013544</v>
      </c>
      <c r="L42" s="25">
        <f t="shared" si="40"/>
        <v>2356.1353425101179</v>
      </c>
      <c r="M42" s="25">
        <f t="shared" si="41"/>
        <v>5328.8951775056394</v>
      </c>
      <c r="N42" s="7"/>
      <c r="O42" s="26">
        <f t="shared" si="29"/>
        <v>1968</v>
      </c>
      <c r="P42" s="39">
        <f t="shared" si="42"/>
        <v>10567.755396455024</v>
      </c>
      <c r="Q42" s="31">
        <f t="shared" si="32"/>
        <v>16594.018737072511</v>
      </c>
      <c r="R42" s="32">
        <f t="shared" si="30"/>
        <v>6026.2633406174864</v>
      </c>
      <c r="S42" s="27">
        <f>8800*12</f>
        <v>105600</v>
      </c>
      <c r="T42" s="36">
        <v>0.57999999999999996</v>
      </c>
      <c r="U42" s="29">
        <f t="shared" si="33"/>
        <v>61247.999999999993</v>
      </c>
      <c r="V42" s="29">
        <f t="shared" si="34"/>
        <v>369096577.08613974</v>
      </c>
    </row>
    <row r="43" spans="2:27">
      <c r="B43" s="24">
        <f t="shared" si="27"/>
        <v>1969</v>
      </c>
      <c r="C43" s="25">
        <f t="shared" si="28"/>
        <v>-2987.0442217918389</v>
      </c>
      <c r="D43" s="25">
        <f t="shared" si="31"/>
        <v>5156.6411483402962</v>
      </c>
      <c r="E43" s="25"/>
      <c r="F43" s="25">
        <f t="shared" si="43"/>
        <v>6026.2633406174864</v>
      </c>
      <c r="G43" s="25">
        <f t="shared" si="35"/>
        <v>16594.018737072511</v>
      </c>
      <c r="H43" s="25">
        <f t="shared" si="36"/>
        <v>2987.2937607077233</v>
      </c>
      <c r="I43" s="25">
        <f t="shared" si="37"/>
        <v>8093.2013285769717</v>
      </c>
      <c r="J43" s="25">
        <f t="shared" si="38"/>
        <v>0.16668852489721597</v>
      </c>
      <c r="K43" s="25">
        <f t="shared" si="39"/>
        <v>133.11933960503265</v>
      </c>
      <c r="L43" s="25">
        <f t="shared" si="40"/>
        <v>3038.8028913848657</v>
      </c>
      <c r="M43" s="25">
        <f t="shared" si="41"/>
        <v>8367.698068890506</v>
      </c>
      <c r="N43" s="7"/>
      <c r="O43" s="26">
        <f t="shared" si="29"/>
        <v>1969</v>
      </c>
      <c r="P43" s="39">
        <f t="shared" si="42"/>
        <v>16594.018737072511</v>
      </c>
      <c r="Q43" s="31">
        <f t="shared" si="32"/>
        <v>22360.199509689053</v>
      </c>
      <c r="R43" s="32">
        <f t="shared" si="30"/>
        <v>5766.1807726165425</v>
      </c>
      <c r="S43" s="27">
        <f>10500*12</f>
        <v>126000</v>
      </c>
      <c r="T43" s="36">
        <v>0.61</v>
      </c>
      <c r="U43" s="29">
        <f t="shared" si="33"/>
        <v>76860</v>
      </c>
      <c r="V43" s="29">
        <f t="shared" si="34"/>
        <v>443188654.18330747</v>
      </c>
    </row>
    <row r="44" spans="2:27">
      <c r="B44" s="24">
        <f t="shared" si="27"/>
        <v>1970</v>
      </c>
      <c r="C44" s="25">
        <f t="shared" si="28"/>
        <v>-2858.4921124807925</v>
      </c>
      <c r="D44" s="25">
        <f t="shared" si="31"/>
        <v>2298.1490358595038</v>
      </c>
      <c r="E44" s="25"/>
      <c r="F44" s="25">
        <f t="shared" si="43"/>
        <v>5766.1807726165443</v>
      </c>
      <c r="G44" s="25">
        <f t="shared" si="35"/>
        <v>22360.199509689053</v>
      </c>
      <c r="H44" s="25">
        <f t="shared" si="36"/>
        <v>2858.5059220222888</v>
      </c>
      <c r="I44" s="25">
        <f t="shared" si="37"/>
        <v>10951.70725059926</v>
      </c>
      <c r="J44" s="25">
        <f t="shared" si="38"/>
        <v>2.1166432565284408E-2</v>
      </c>
      <c r="K44" s="25">
        <f t="shared" si="39"/>
        <v>133.14050603759793</v>
      </c>
      <c r="L44" s="25">
        <f t="shared" si="40"/>
        <v>2907.6536841616908</v>
      </c>
      <c r="M44" s="25">
        <f t="shared" si="41"/>
        <v>11275.351753052197</v>
      </c>
      <c r="N44" s="7"/>
      <c r="O44" s="26">
        <f t="shared" si="29"/>
        <v>1970</v>
      </c>
      <c r="P44" s="39">
        <f t="shared" si="42"/>
        <v>22360.199509689053</v>
      </c>
      <c r="Q44" s="31">
        <f t="shared" si="32"/>
        <v>25761.735392626408</v>
      </c>
      <c r="R44" s="32">
        <f t="shared" si="30"/>
        <v>3401.5358829373545</v>
      </c>
      <c r="S44" s="27">
        <f>12300*12</f>
        <v>147600</v>
      </c>
      <c r="T44" s="36">
        <v>0.63</v>
      </c>
      <c r="U44" s="29">
        <f t="shared" si="33"/>
        <v>92988</v>
      </c>
      <c r="V44" s="29">
        <f t="shared" si="34"/>
        <v>316302018.68257874</v>
      </c>
    </row>
    <row r="45" spans="2:27">
      <c r="B45" s="24">
        <f t="shared" si="27"/>
        <v>1971</v>
      </c>
      <c r="C45" s="25">
        <f t="shared" si="28"/>
        <v>-1686.2748334990508</v>
      </c>
      <c r="D45" s="25">
        <f t="shared" ref="D45:D46" si="44">C45+D44</f>
        <v>611.87420236045295</v>
      </c>
      <c r="E45" s="25"/>
      <c r="F45" s="25">
        <f t="shared" ref="F45:F46" si="45">H45+J45+L45</f>
        <v>3401.5358829373554</v>
      </c>
      <c r="G45" s="25">
        <f t="shared" ref="G45:G46" si="46">F45+G44</f>
        <v>25761.735392626408</v>
      </c>
      <c r="H45" s="25">
        <f t="shared" si="36"/>
        <v>1686.2754180539919</v>
      </c>
      <c r="I45" s="25">
        <f t="shared" ref="I45:I46" si="47">I44+H45</f>
        <v>12637.982668653252</v>
      </c>
      <c r="J45" s="25">
        <f t="shared" si="38"/>
        <v>2.3535177458177295E-3</v>
      </c>
      <c r="K45" s="25">
        <f t="shared" ref="K45:K46" si="48">J45+K44</f>
        <v>133.14285955534376</v>
      </c>
      <c r="L45" s="25">
        <f t="shared" si="40"/>
        <v>1715.2581113656179</v>
      </c>
      <c r="M45" s="25">
        <f t="shared" ref="M45:M46" si="49">M44+L45</f>
        <v>12990.609864417815</v>
      </c>
      <c r="N45" s="7"/>
      <c r="O45" s="26">
        <f t="shared" si="29"/>
        <v>1971</v>
      </c>
      <c r="P45" s="39">
        <f t="shared" si="42"/>
        <v>25761.735392626408</v>
      </c>
      <c r="Q45" s="31">
        <f t="shared" si="32"/>
        <v>26798.01774495433</v>
      </c>
      <c r="R45" s="32">
        <f t="shared" si="30"/>
        <v>1036.2823523279221</v>
      </c>
      <c r="S45" s="27">
        <f>12300*12</f>
        <v>147600</v>
      </c>
      <c r="T45" s="36">
        <v>0.62</v>
      </c>
      <c r="U45" s="29">
        <f t="shared" si="33"/>
        <v>91512</v>
      </c>
      <c r="V45" s="29">
        <f t="shared" si="34"/>
        <v>94832270.626232803</v>
      </c>
    </row>
    <row r="46" spans="2:27">
      <c r="B46" s="24">
        <f t="shared" si="27"/>
        <v>1972</v>
      </c>
      <c r="C46" s="25">
        <f t="shared" si="28"/>
        <v>-513.72648016838036</v>
      </c>
      <c r="D46" s="25">
        <f t="shared" si="44"/>
        <v>98.147722192072592</v>
      </c>
      <c r="E46" s="25"/>
      <c r="F46" s="25">
        <f t="shared" si="45"/>
        <v>1036.2823523279199</v>
      </c>
      <c r="G46" s="25">
        <f t="shared" si="46"/>
        <v>26798.017744954326</v>
      </c>
      <c r="H46" s="25">
        <f t="shared" si="36"/>
        <v>513.72650075425645</v>
      </c>
      <c r="I46" s="25">
        <f t="shared" si="47"/>
        <v>13151.70916940751</v>
      </c>
      <c r="J46" s="25">
        <f t="shared" si="38"/>
        <v>2.2621286974666311E-4</v>
      </c>
      <c r="K46" s="25">
        <f t="shared" si="48"/>
        <v>133.1430857682135</v>
      </c>
      <c r="L46" s="25">
        <f t="shared" si="40"/>
        <v>522.55562536079378</v>
      </c>
      <c r="M46" s="25">
        <f t="shared" si="49"/>
        <v>13513.165489778608</v>
      </c>
      <c r="N46" s="7"/>
      <c r="O46" s="26">
        <f t="shared" si="29"/>
        <v>1972</v>
      </c>
      <c r="P46" s="39">
        <f t="shared" si="42"/>
        <v>26798.017744954326</v>
      </c>
      <c r="Q46" s="31">
        <f t="shared" si="32"/>
        <v>26970.626522804752</v>
      </c>
      <c r="R46" s="32">
        <f t="shared" si="30"/>
        <v>172.60877785042612</v>
      </c>
      <c r="S46" s="27">
        <f>11000*12</f>
        <v>132000</v>
      </c>
      <c r="T46" s="36">
        <v>0.61</v>
      </c>
      <c r="U46" s="29">
        <f t="shared" si="33"/>
        <v>80520</v>
      </c>
      <c r="V46" s="29">
        <f t="shared" si="34"/>
        <v>13898458.792516312</v>
      </c>
    </row>
    <row r="47" spans="2:27">
      <c r="N47" s="7"/>
      <c r="Q47" s="2" t="s">
        <v>27</v>
      </c>
      <c r="R47" s="33">
        <v>0.15</v>
      </c>
      <c r="S47" s="2" t="s">
        <v>28</v>
      </c>
      <c r="V47" s="34">
        <f>NPV(R47,V38:V46)/1000</f>
        <v>921034.74289436848</v>
      </c>
    </row>
    <row r="48" spans="2:27">
      <c r="B48" s="10"/>
      <c r="N48" s="7"/>
      <c r="Q48" s="2" t="s">
        <v>30</v>
      </c>
      <c r="V48" s="34">
        <f>V47-V28</f>
        <v>623502.09647744161</v>
      </c>
    </row>
    <row r="49" spans="2:18">
      <c r="N49" s="7"/>
    </row>
    <row r="50" spans="2:18">
      <c r="N50" s="7"/>
    </row>
    <row r="51" spans="2:18" ht="42" customHeight="1">
      <c r="B51" s="24"/>
      <c r="C51" s="40" t="s">
        <v>37</v>
      </c>
      <c r="D51" s="40" t="s">
        <v>38</v>
      </c>
      <c r="E51" s="41" t="s">
        <v>21</v>
      </c>
      <c r="F51" s="40" t="s">
        <v>34</v>
      </c>
      <c r="G51" s="40" t="s">
        <v>35</v>
      </c>
      <c r="N51" s="7"/>
    </row>
    <row r="52" spans="2:18">
      <c r="B52" s="24"/>
      <c r="C52" s="45" t="s">
        <v>44</v>
      </c>
      <c r="D52" s="46"/>
      <c r="E52" s="47"/>
      <c r="F52" s="1" t="s">
        <v>40</v>
      </c>
      <c r="G52" s="24" t="s">
        <v>36</v>
      </c>
      <c r="N52" s="7"/>
      <c r="R52" s="2" t="s">
        <v>31</v>
      </c>
    </row>
    <row r="53" spans="2:18">
      <c r="B53" s="42">
        <v>1964</v>
      </c>
      <c r="C53" s="43">
        <f>P19</f>
        <v>11084.847756636858</v>
      </c>
      <c r="D53" s="43">
        <f>Q19</f>
        <v>10772.247571245942</v>
      </c>
      <c r="E53" s="43">
        <f t="shared" ref="E53:E61" si="50">C53-D53</f>
        <v>312.60018539091652</v>
      </c>
      <c r="F53" s="29">
        <f>U19</f>
        <v>32940</v>
      </c>
      <c r="G53" s="43">
        <f>E53*F53/1000</f>
        <v>10297.050106776791</v>
      </c>
      <c r="N53" s="7"/>
      <c r="O53" s="24">
        <v>1964</v>
      </c>
      <c r="P53" s="27">
        <v>0</v>
      </c>
      <c r="Q53" s="44">
        <f t="shared" ref="Q53:Q61" si="51">U38</f>
        <v>51240</v>
      </c>
      <c r="R53" s="44">
        <f>P53*Q53/1000</f>
        <v>0</v>
      </c>
    </row>
    <row r="54" spans="2:18">
      <c r="B54" s="42">
        <f>B53+1</f>
        <v>1965</v>
      </c>
      <c r="C54" s="43">
        <f t="shared" ref="C54:C61" si="52">P20</f>
        <v>12349.901313456396</v>
      </c>
      <c r="D54" s="43">
        <f t="shared" ref="D54:D61" si="53">Q20</f>
        <v>11520.301294860425</v>
      </c>
      <c r="E54" s="43">
        <f t="shared" si="50"/>
        <v>829.60001859597105</v>
      </c>
      <c r="F54" s="29">
        <f t="shared" ref="F54:F61" si="54">U20</f>
        <v>33480</v>
      </c>
      <c r="G54" s="43">
        <f t="shared" ref="G54:G61" si="55">E54*F54/1000</f>
        <v>27775.008622593112</v>
      </c>
      <c r="N54" s="7"/>
      <c r="O54" s="24">
        <f t="shared" ref="O54:O61" si="56">O53+1</f>
        <v>1965</v>
      </c>
      <c r="P54" s="27">
        <f>'original data'!E14</f>
        <v>625</v>
      </c>
      <c r="Q54" s="44">
        <f t="shared" si="51"/>
        <v>53568</v>
      </c>
      <c r="R54" s="44">
        <f t="shared" ref="R54:R61" si="57">P54*Q54/1000</f>
        <v>33480</v>
      </c>
    </row>
    <row r="55" spans="2:18">
      <c r="B55" s="42">
        <f t="shared" ref="B55:B61" si="58">B54+1</f>
        <v>1966</v>
      </c>
      <c r="C55" s="43">
        <f t="shared" si="52"/>
        <v>11912.933043456042</v>
      </c>
      <c r="D55" s="43">
        <f t="shared" si="53"/>
        <v>10409.398806355517</v>
      </c>
      <c r="E55" s="43">
        <f t="shared" si="50"/>
        <v>1503.5342371005245</v>
      </c>
      <c r="F55" s="29">
        <f t="shared" si="54"/>
        <v>49104</v>
      </c>
      <c r="G55" s="43">
        <f t="shared" si="55"/>
        <v>73829.545178584158</v>
      </c>
      <c r="N55" s="7"/>
      <c r="O55" s="24">
        <f t="shared" si="56"/>
        <v>1966</v>
      </c>
      <c r="P55" s="27">
        <f>'original data'!E15</f>
        <v>3881</v>
      </c>
      <c r="Q55" s="44">
        <f t="shared" si="51"/>
        <v>55800</v>
      </c>
      <c r="R55" s="44">
        <f t="shared" si="57"/>
        <v>216559.8</v>
      </c>
    </row>
    <row r="56" spans="2:18">
      <c r="B56" s="42">
        <f t="shared" si="58"/>
        <v>1967</v>
      </c>
      <c r="C56" s="43">
        <f t="shared" si="52"/>
        <v>10455.07880714392</v>
      </c>
      <c r="D56" s="43">
        <f t="shared" si="53"/>
        <v>8139.6863819034597</v>
      </c>
      <c r="E56" s="43">
        <f t="shared" si="50"/>
        <v>2315.3924252404604</v>
      </c>
      <c r="F56" s="29">
        <f t="shared" si="54"/>
        <v>45878.399999999994</v>
      </c>
      <c r="G56" s="43">
        <f t="shared" si="55"/>
        <v>106226.49984215193</v>
      </c>
      <c r="N56" s="7"/>
      <c r="O56" s="24">
        <f t="shared" si="56"/>
        <v>1967</v>
      </c>
      <c r="P56" s="27">
        <f>'original data'!E16</f>
        <v>8125</v>
      </c>
      <c r="Q56" s="44">
        <f t="shared" si="51"/>
        <v>60180</v>
      </c>
      <c r="R56" s="44">
        <f t="shared" si="57"/>
        <v>488962.5</v>
      </c>
    </row>
    <row r="57" spans="2:18">
      <c r="B57" s="42">
        <f t="shared" si="58"/>
        <v>1968</v>
      </c>
      <c r="C57" s="43">
        <f t="shared" si="52"/>
        <v>8143.6853701321352</v>
      </c>
      <c r="D57" s="43">
        <f t="shared" si="53"/>
        <v>5156.3040014624858</v>
      </c>
      <c r="E57" s="43">
        <f t="shared" si="50"/>
        <v>2987.3813686696494</v>
      </c>
      <c r="F57" s="29">
        <f t="shared" si="54"/>
        <v>43152</v>
      </c>
      <c r="G57" s="43">
        <f t="shared" si="55"/>
        <v>128911.48082083272</v>
      </c>
      <c r="N57" s="7"/>
      <c r="O57" s="24">
        <f t="shared" si="56"/>
        <v>1968</v>
      </c>
      <c r="P57" s="27">
        <f>'original data'!E17</f>
        <v>13110</v>
      </c>
      <c r="Q57" s="44">
        <f t="shared" si="51"/>
        <v>61247.999999999993</v>
      </c>
      <c r="R57" s="44">
        <f t="shared" si="57"/>
        <v>802961.27999999991</v>
      </c>
    </row>
    <row r="58" spans="2:18">
      <c r="B58" s="42">
        <f t="shared" si="58"/>
        <v>1969</v>
      </c>
      <c r="C58" s="43">
        <f t="shared" si="52"/>
        <v>5156.6411483402962</v>
      </c>
      <c r="D58" s="43">
        <f t="shared" si="53"/>
        <v>2298.1207067712244</v>
      </c>
      <c r="E58" s="43">
        <f t="shared" si="50"/>
        <v>2858.5204415690719</v>
      </c>
      <c r="F58" s="29">
        <f t="shared" si="54"/>
        <v>45384</v>
      </c>
      <c r="G58" s="43">
        <f t="shared" si="55"/>
        <v>129731.09172017075</v>
      </c>
      <c r="N58" s="7"/>
      <c r="O58" s="24">
        <f t="shared" si="56"/>
        <v>1969</v>
      </c>
      <c r="P58" s="27">
        <f>'original data'!E18</f>
        <v>17687</v>
      </c>
      <c r="Q58" s="44">
        <f t="shared" si="51"/>
        <v>76860</v>
      </c>
      <c r="R58" s="44">
        <f t="shared" si="57"/>
        <v>1359422.82</v>
      </c>
    </row>
    <row r="59" spans="2:18">
      <c r="B59" s="42">
        <f t="shared" si="58"/>
        <v>1970</v>
      </c>
      <c r="C59" s="43">
        <f t="shared" si="52"/>
        <v>2298.1490358595038</v>
      </c>
      <c r="D59" s="43">
        <f t="shared" si="53"/>
        <v>611.87182265525871</v>
      </c>
      <c r="E59" s="43">
        <f t="shared" si="50"/>
        <v>1686.2772132042451</v>
      </c>
      <c r="F59" s="29">
        <f t="shared" si="54"/>
        <v>46872</v>
      </c>
      <c r="G59" s="43">
        <f t="shared" si="55"/>
        <v>79039.185537309371</v>
      </c>
      <c r="N59" s="7"/>
      <c r="O59" s="24">
        <f t="shared" si="56"/>
        <v>1970</v>
      </c>
      <c r="P59" s="27">
        <f>'original data'!E19</f>
        <v>19412</v>
      </c>
      <c r="Q59" s="44">
        <f t="shared" si="51"/>
        <v>92988</v>
      </c>
      <c r="R59" s="44">
        <f t="shared" si="57"/>
        <v>1805083.0560000001</v>
      </c>
    </row>
    <row r="60" spans="2:18">
      <c r="B60" s="42">
        <f t="shared" si="58"/>
        <v>1971</v>
      </c>
      <c r="C60" s="43">
        <f t="shared" si="52"/>
        <v>611.87420236045295</v>
      </c>
      <c r="D60" s="43">
        <f t="shared" si="53"/>
        <v>98.147522296400325</v>
      </c>
      <c r="E60" s="43">
        <f t="shared" si="50"/>
        <v>513.72668006405263</v>
      </c>
      <c r="F60" s="29">
        <f t="shared" si="54"/>
        <v>46128</v>
      </c>
      <c r="G60" s="43">
        <f t="shared" si="55"/>
        <v>23697.18429799462</v>
      </c>
      <c r="N60" s="7"/>
      <c r="O60" s="24">
        <f t="shared" si="56"/>
        <v>1971</v>
      </c>
      <c r="P60" s="27">
        <f>'original data'!E20</f>
        <v>17529</v>
      </c>
      <c r="Q60" s="44">
        <f t="shared" si="51"/>
        <v>91512</v>
      </c>
      <c r="R60" s="44">
        <f t="shared" si="57"/>
        <v>1604113.848</v>
      </c>
    </row>
    <row r="61" spans="2:18">
      <c r="B61" s="42">
        <f t="shared" si="58"/>
        <v>1972</v>
      </c>
      <c r="C61" s="43">
        <f t="shared" si="52"/>
        <v>98.147722192072592</v>
      </c>
      <c r="D61" s="43">
        <f t="shared" si="53"/>
        <v>12.578631674523677</v>
      </c>
      <c r="E61" s="43">
        <f t="shared" si="50"/>
        <v>85.569090517548915</v>
      </c>
      <c r="F61" s="29">
        <f t="shared" si="54"/>
        <v>27084</v>
      </c>
      <c r="G61" s="43">
        <f t="shared" si="55"/>
        <v>2317.5532475772948</v>
      </c>
      <c r="N61" s="7"/>
      <c r="O61" s="24">
        <f t="shared" si="56"/>
        <v>1972</v>
      </c>
      <c r="P61" s="27">
        <f>'original data'!E21</f>
        <v>14909</v>
      </c>
      <c r="Q61" s="44">
        <f t="shared" si="51"/>
        <v>80520</v>
      </c>
      <c r="R61" s="44">
        <f t="shared" si="57"/>
        <v>1200472.68</v>
      </c>
    </row>
    <row r="62" spans="2:18">
      <c r="F62" s="2" t="s">
        <v>33</v>
      </c>
      <c r="G62" s="34">
        <f>NPV(R28,G53:G61)</f>
        <v>297532.64641692681</v>
      </c>
      <c r="N62" s="7"/>
      <c r="R62" s="34">
        <f>NPV(R47,R53:R61)</f>
        <v>2978437.3403363186</v>
      </c>
    </row>
    <row r="63" spans="2:18">
      <c r="N63" s="7"/>
    </row>
    <row r="64" spans="2:18">
      <c r="B64" s="1"/>
      <c r="C64" s="1"/>
      <c r="D64" s="1"/>
      <c r="E64" s="1"/>
      <c r="F64" s="1"/>
      <c r="G64" s="1"/>
      <c r="H64" s="1"/>
      <c r="N64" s="7"/>
      <c r="P64" s="2" t="s">
        <v>32</v>
      </c>
      <c r="R64" s="37">
        <f>V48/R62</f>
        <v>0.20933866495477024</v>
      </c>
    </row>
    <row r="65" spans="2:14" ht="41.25" customHeight="1">
      <c r="B65" s="24"/>
      <c r="C65" s="40" t="s">
        <v>37</v>
      </c>
      <c r="D65" s="40" t="s">
        <v>38</v>
      </c>
      <c r="E65" s="41" t="s">
        <v>21</v>
      </c>
      <c r="F65" s="40" t="s">
        <v>34</v>
      </c>
      <c r="G65" s="40" t="s">
        <v>35</v>
      </c>
      <c r="N65" s="7"/>
    </row>
    <row r="66" spans="2:14">
      <c r="B66" s="24"/>
      <c r="C66" s="45" t="s">
        <v>44</v>
      </c>
      <c r="D66" s="46"/>
      <c r="E66" s="47"/>
      <c r="F66" s="1" t="s">
        <v>40</v>
      </c>
      <c r="G66" s="24" t="s">
        <v>36</v>
      </c>
      <c r="N66" s="7"/>
    </row>
    <row r="67" spans="2:14">
      <c r="B67" s="42">
        <v>1964</v>
      </c>
      <c r="C67" s="43">
        <f>P38</f>
        <v>0</v>
      </c>
      <c r="D67" s="43">
        <f>Q38</f>
        <v>1025.848</v>
      </c>
      <c r="E67" s="43">
        <f>D67-C67</f>
        <v>1025.848</v>
      </c>
      <c r="F67" s="29">
        <f>U38</f>
        <v>51240</v>
      </c>
      <c r="G67" s="43">
        <f>F67*E67/1000</f>
        <v>52564.451519999995</v>
      </c>
      <c r="N67" s="7"/>
    </row>
    <row r="68" spans="2:14">
      <c r="B68" s="42">
        <f>B67+1</f>
        <v>1965</v>
      </c>
      <c r="C68" s="43">
        <f t="shared" ref="C68:C75" si="59">P39</f>
        <v>1025.848</v>
      </c>
      <c r="D68" s="43">
        <f t="shared" ref="D68:D75" si="60">Q39</f>
        <v>2841.6810278399998</v>
      </c>
      <c r="E68" s="43">
        <f t="shared" ref="E68:E75" si="61">D68-C68</f>
        <v>1815.8330278399999</v>
      </c>
      <c r="F68" s="29">
        <f t="shared" ref="F68:F75" si="62">U39</f>
        <v>53568</v>
      </c>
      <c r="G68" s="43">
        <f t="shared" ref="G68:G75" si="63">F68*E68/1000</f>
        <v>97270.543635333117</v>
      </c>
      <c r="N68" s="7"/>
    </row>
    <row r="69" spans="2:14">
      <c r="B69" s="42">
        <f t="shared" ref="B69:B75" si="64">B68+1</f>
        <v>1966</v>
      </c>
      <c r="C69" s="43">
        <f t="shared" si="59"/>
        <v>2841.6810278399998</v>
      </c>
      <c r="D69" s="43">
        <f t="shared" si="60"/>
        <v>5895.2930658590385</v>
      </c>
      <c r="E69" s="43">
        <f t="shared" si="61"/>
        <v>3053.6120380190387</v>
      </c>
      <c r="F69" s="29">
        <f t="shared" si="62"/>
        <v>55800</v>
      </c>
      <c r="G69" s="43">
        <f t="shared" si="63"/>
        <v>170391.55172146237</v>
      </c>
      <c r="N69" s="7"/>
    </row>
    <row r="70" spans="2:14">
      <c r="B70" s="42">
        <f t="shared" si="64"/>
        <v>1967</v>
      </c>
      <c r="C70" s="43">
        <f t="shared" si="59"/>
        <v>5895.2930658590394</v>
      </c>
      <c r="D70" s="43">
        <f t="shared" si="60"/>
        <v>10567.755396455024</v>
      </c>
      <c r="E70" s="43">
        <f t="shared" si="61"/>
        <v>4672.4623305959849</v>
      </c>
      <c r="F70" s="29">
        <f t="shared" si="62"/>
        <v>60180</v>
      </c>
      <c r="G70" s="43">
        <f t="shared" si="63"/>
        <v>281188.78305526637</v>
      </c>
      <c r="N70" s="7"/>
    </row>
    <row r="71" spans="2:14">
      <c r="B71" s="42">
        <f t="shared" si="64"/>
        <v>1968</v>
      </c>
      <c r="C71" s="43">
        <f t="shared" si="59"/>
        <v>10567.755396455024</v>
      </c>
      <c r="D71" s="43">
        <f t="shared" si="60"/>
        <v>16594.018737072511</v>
      </c>
      <c r="E71" s="43">
        <f t="shared" si="61"/>
        <v>6026.2633406174864</v>
      </c>
      <c r="F71" s="29">
        <f t="shared" si="62"/>
        <v>61247.999999999993</v>
      </c>
      <c r="G71" s="43">
        <f t="shared" si="63"/>
        <v>369096.57708613976</v>
      </c>
      <c r="N71" s="7"/>
    </row>
    <row r="72" spans="2:14">
      <c r="B72" s="42">
        <f t="shared" si="64"/>
        <v>1969</v>
      </c>
      <c r="C72" s="43">
        <f t="shared" si="59"/>
        <v>16594.018737072511</v>
      </c>
      <c r="D72" s="43">
        <f t="shared" si="60"/>
        <v>22360.199509689053</v>
      </c>
      <c r="E72" s="43">
        <f t="shared" si="61"/>
        <v>5766.1807726165425</v>
      </c>
      <c r="F72" s="29">
        <f t="shared" si="62"/>
        <v>76860</v>
      </c>
      <c r="G72" s="43">
        <f t="shared" si="63"/>
        <v>443188.65418330749</v>
      </c>
      <c r="N72" s="7"/>
    </row>
    <row r="73" spans="2:14">
      <c r="B73" s="42">
        <f t="shared" si="64"/>
        <v>1970</v>
      </c>
      <c r="C73" s="43">
        <f t="shared" si="59"/>
        <v>22360.199509689053</v>
      </c>
      <c r="D73" s="43">
        <f t="shared" si="60"/>
        <v>25761.735392626408</v>
      </c>
      <c r="E73" s="43">
        <f t="shared" si="61"/>
        <v>3401.5358829373545</v>
      </c>
      <c r="F73" s="29">
        <f t="shared" si="62"/>
        <v>92988</v>
      </c>
      <c r="G73" s="43">
        <f t="shared" si="63"/>
        <v>316302.01868257875</v>
      </c>
      <c r="N73" s="7"/>
    </row>
    <row r="74" spans="2:14">
      <c r="B74" s="42">
        <f t="shared" si="64"/>
        <v>1971</v>
      </c>
      <c r="C74" s="43">
        <f t="shared" si="59"/>
        <v>25761.735392626408</v>
      </c>
      <c r="D74" s="43">
        <f t="shared" si="60"/>
        <v>26798.01774495433</v>
      </c>
      <c r="E74" s="43">
        <f t="shared" si="61"/>
        <v>1036.2823523279221</v>
      </c>
      <c r="F74" s="29">
        <f t="shared" si="62"/>
        <v>91512</v>
      </c>
      <c r="G74" s="43">
        <f t="shared" si="63"/>
        <v>94832.270626232799</v>
      </c>
      <c r="N74" s="7"/>
    </row>
    <row r="75" spans="2:14">
      <c r="B75" s="42">
        <f t="shared" si="64"/>
        <v>1972</v>
      </c>
      <c r="C75" s="43">
        <f t="shared" si="59"/>
        <v>26798.017744954326</v>
      </c>
      <c r="D75" s="43">
        <f t="shared" si="60"/>
        <v>26970.626522804752</v>
      </c>
      <c r="E75" s="43">
        <f t="shared" si="61"/>
        <v>172.60877785042612</v>
      </c>
      <c r="F75" s="29">
        <f t="shared" si="62"/>
        <v>80520</v>
      </c>
      <c r="G75" s="43">
        <f t="shared" si="63"/>
        <v>13898.458792516312</v>
      </c>
      <c r="N75" s="7"/>
    </row>
    <row r="76" spans="2:14">
      <c r="F76" s="2" t="s">
        <v>33</v>
      </c>
      <c r="G76" s="34">
        <f>NPV(R47,G67:G75)</f>
        <v>921034.74289436848</v>
      </c>
    </row>
  </sheetData>
  <mergeCells count="2">
    <mergeCell ref="C52:E52"/>
    <mergeCell ref="C66:E66"/>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E6" sqref="E6"/>
    </sheetView>
  </sheetViews>
  <sheetFormatPr baseColWidth="10" defaultColWidth="8.83203125" defaultRowHeight="14" x14ac:dyDescent="0"/>
  <cols>
    <col min="1" max="16384" width="8.83203125" style="2"/>
  </cols>
  <sheetData>
    <row r="1" spans="1:9">
      <c r="A1" s="1"/>
    </row>
    <row r="2" spans="1:9">
      <c r="A2" s="1"/>
      <c r="B2" s="3"/>
      <c r="C2" s="4" t="s">
        <v>3</v>
      </c>
      <c r="D2" s="4" t="s">
        <v>4</v>
      </c>
      <c r="E2" s="4" t="s">
        <v>8</v>
      </c>
      <c r="F2" s="4" t="s">
        <v>9</v>
      </c>
      <c r="G2" s="1" t="s">
        <v>10</v>
      </c>
      <c r="I2" s="2" t="s">
        <v>24</v>
      </c>
    </row>
    <row r="3" spans="1:9">
      <c r="A3" s="1"/>
      <c r="B3" s="4" t="s">
        <v>11</v>
      </c>
      <c r="C3" s="4" t="s">
        <v>12</v>
      </c>
      <c r="D3" s="4" t="s">
        <v>13</v>
      </c>
      <c r="E3" s="4" t="s">
        <v>14</v>
      </c>
      <c r="F3" s="4" t="s">
        <v>15</v>
      </c>
      <c r="G3" s="1" t="s">
        <v>16</v>
      </c>
    </row>
    <row r="4" spans="1:9">
      <c r="A4" s="1"/>
      <c r="B4" s="4">
        <v>1955</v>
      </c>
      <c r="C4" s="5">
        <v>190</v>
      </c>
      <c r="D4" s="5"/>
      <c r="E4" s="5"/>
      <c r="F4" s="5"/>
      <c r="G4" s="6">
        <f>SUM(C4:F4)</f>
        <v>190</v>
      </c>
    </row>
    <row r="5" spans="1:9">
      <c r="A5" s="1"/>
      <c r="B5" s="4">
        <v>1956</v>
      </c>
      <c r="C5" s="5">
        <v>560</v>
      </c>
      <c r="D5" s="5"/>
      <c r="E5" s="5"/>
      <c r="F5" s="5"/>
      <c r="G5" s="6">
        <f t="shared" ref="G5:G27" si="0">SUM(C5:F5)</f>
        <v>560</v>
      </c>
    </row>
    <row r="6" spans="1:9">
      <c r="A6" s="1"/>
      <c r="B6" s="4">
        <v>1957</v>
      </c>
      <c r="C6" s="5">
        <v>1000</v>
      </c>
      <c r="D6" s="5"/>
      <c r="E6" s="5"/>
      <c r="F6" s="5"/>
      <c r="G6" s="6">
        <f t="shared" si="0"/>
        <v>1000</v>
      </c>
    </row>
    <row r="7" spans="1:9">
      <c r="A7" s="1"/>
      <c r="B7" s="4">
        <v>1958</v>
      </c>
      <c r="C7" s="5">
        <v>1680</v>
      </c>
      <c r="D7" s="5"/>
      <c r="E7" s="5"/>
      <c r="F7" s="5"/>
      <c r="G7" s="6">
        <f t="shared" si="0"/>
        <v>1680</v>
      </c>
    </row>
    <row r="8" spans="1:9">
      <c r="A8" s="1"/>
      <c r="B8" s="4">
        <v>1959</v>
      </c>
      <c r="C8" s="5">
        <v>2542</v>
      </c>
      <c r="D8" s="5">
        <v>3</v>
      </c>
      <c r="E8" s="5"/>
      <c r="F8" s="5"/>
      <c r="G8" s="6">
        <f t="shared" si="0"/>
        <v>2545</v>
      </c>
    </row>
    <row r="9" spans="1:9">
      <c r="A9" s="1"/>
      <c r="B9" s="4">
        <v>1960</v>
      </c>
      <c r="C9" s="5">
        <v>2640</v>
      </c>
      <c r="D9" s="5">
        <v>880</v>
      </c>
      <c r="E9" s="5"/>
      <c r="F9" s="5"/>
      <c r="G9" s="6">
        <f t="shared" si="0"/>
        <v>3520</v>
      </c>
    </row>
    <row r="10" spans="1:9">
      <c r="A10" s="1"/>
      <c r="B10" s="4">
        <v>1961</v>
      </c>
      <c r="C10" s="5">
        <v>2350</v>
      </c>
      <c r="D10" s="5">
        <v>2510</v>
      </c>
      <c r="E10" s="5"/>
      <c r="F10" s="5"/>
      <c r="G10" s="6">
        <f t="shared" si="0"/>
        <v>4860</v>
      </c>
    </row>
    <row r="11" spans="1:9">
      <c r="A11" s="1"/>
      <c r="B11" s="4">
        <v>1962</v>
      </c>
      <c r="C11" s="5">
        <v>1820</v>
      </c>
      <c r="D11" s="5">
        <v>4725</v>
      </c>
      <c r="E11" s="5"/>
      <c r="F11" s="5"/>
      <c r="G11" s="6">
        <f t="shared" si="0"/>
        <v>6545</v>
      </c>
    </row>
    <row r="12" spans="1:9">
      <c r="A12" s="1"/>
      <c r="B12" s="4">
        <v>1963</v>
      </c>
      <c r="C12" s="5">
        <v>1170</v>
      </c>
      <c r="D12" s="5">
        <v>7720</v>
      </c>
      <c r="E12" s="5"/>
      <c r="F12" s="5"/>
      <c r="G12" s="6">
        <f t="shared" si="0"/>
        <v>8890</v>
      </c>
    </row>
    <row r="13" spans="1:9">
      <c r="A13" s="1"/>
      <c r="B13" s="4">
        <v>1964</v>
      </c>
      <c r="C13" s="5">
        <v>750</v>
      </c>
      <c r="D13" s="5">
        <v>10940</v>
      </c>
      <c r="E13" s="5"/>
      <c r="F13" s="5"/>
      <c r="G13" s="6">
        <f t="shared" si="0"/>
        <v>11690</v>
      </c>
    </row>
    <row r="14" spans="1:9">
      <c r="A14" s="1"/>
      <c r="B14" s="4">
        <v>1965</v>
      </c>
      <c r="C14" s="5">
        <v>455</v>
      </c>
      <c r="D14" s="5">
        <v>13090</v>
      </c>
      <c r="E14" s="5">
        <v>625</v>
      </c>
      <c r="F14" s="5"/>
      <c r="G14" s="6">
        <f t="shared" si="0"/>
        <v>14170</v>
      </c>
    </row>
    <row r="15" spans="1:9">
      <c r="A15" s="1"/>
      <c r="B15" s="4">
        <v>1966</v>
      </c>
      <c r="C15" s="5">
        <v>303</v>
      </c>
      <c r="D15" s="5">
        <v>13330</v>
      </c>
      <c r="E15" s="5">
        <v>3881</v>
      </c>
      <c r="F15" s="5"/>
      <c r="G15" s="6">
        <f t="shared" si="0"/>
        <v>17514</v>
      </c>
    </row>
    <row r="16" spans="1:9">
      <c r="A16" s="1"/>
      <c r="B16" s="4">
        <v>1967</v>
      </c>
      <c r="C16" s="5">
        <v>203</v>
      </c>
      <c r="D16" s="5">
        <v>9977</v>
      </c>
      <c r="E16" s="5">
        <v>8125</v>
      </c>
      <c r="F16" s="5"/>
      <c r="G16" s="6">
        <f t="shared" si="0"/>
        <v>18305</v>
      </c>
    </row>
    <row r="17" spans="1:7">
      <c r="A17" s="1"/>
      <c r="B17" s="4">
        <v>1968</v>
      </c>
      <c r="C17" s="5">
        <v>170</v>
      </c>
      <c r="D17" s="5">
        <v>6896</v>
      </c>
      <c r="E17" s="5">
        <v>13110</v>
      </c>
      <c r="F17" s="5"/>
      <c r="G17" s="6">
        <f t="shared" si="0"/>
        <v>20176</v>
      </c>
    </row>
    <row r="18" spans="1:7">
      <c r="A18" s="1"/>
      <c r="B18" s="4">
        <v>1969</v>
      </c>
      <c r="C18" s="5">
        <v>49</v>
      </c>
      <c r="D18" s="5">
        <v>4646</v>
      </c>
      <c r="E18" s="5">
        <v>17687</v>
      </c>
      <c r="F18" s="5"/>
      <c r="G18" s="6">
        <f t="shared" si="0"/>
        <v>22382</v>
      </c>
    </row>
    <row r="19" spans="1:7">
      <c r="A19" s="1"/>
      <c r="B19" s="4">
        <v>1970</v>
      </c>
      <c r="C19" s="5">
        <v>29</v>
      </c>
      <c r="D19" s="5">
        <v>3297</v>
      </c>
      <c r="E19" s="5">
        <v>19412</v>
      </c>
      <c r="F19" s="5"/>
      <c r="G19" s="6">
        <f t="shared" si="0"/>
        <v>22738</v>
      </c>
    </row>
    <row r="20" spans="1:7">
      <c r="A20" s="1"/>
      <c r="B20" s="4">
        <v>1971</v>
      </c>
      <c r="C20" s="5">
        <v>14</v>
      </c>
      <c r="D20" s="5">
        <v>2916</v>
      </c>
      <c r="E20" s="5">
        <v>17529</v>
      </c>
      <c r="F20" s="5">
        <v>806</v>
      </c>
      <c r="G20" s="6">
        <f t="shared" si="0"/>
        <v>21265</v>
      </c>
    </row>
    <row r="21" spans="1:7">
      <c r="A21" s="1"/>
      <c r="B21" s="4">
        <v>1972</v>
      </c>
      <c r="C21" s="5">
        <v>6</v>
      </c>
      <c r="D21" s="5">
        <v>2384</v>
      </c>
      <c r="E21" s="5">
        <v>14909</v>
      </c>
      <c r="F21" s="5">
        <v>2922</v>
      </c>
      <c r="G21" s="6">
        <f t="shared" si="0"/>
        <v>20221</v>
      </c>
    </row>
    <row r="22" spans="1:7">
      <c r="A22" s="1"/>
      <c r="B22" s="4">
        <v>1973</v>
      </c>
      <c r="C22" s="5">
        <v>4</v>
      </c>
      <c r="D22" s="5">
        <v>2079</v>
      </c>
      <c r="E22" s="5">
        <v>10475</v>
      </c>
      <c r="F22" s="5">
        <v>5887</v>
      </c>
      <c r="G22" s="6">
        <f t="shared" si="0"/>
        <v>18445</v>
      </c>
    </row>
    <row r="23" spans="1:7">
      <c r="A23" s="1"/>
      <c r="B23" s="4">
        <v>1974</v>
      </c>
      <c r="C23" s="5">
        <v>4</v>
      </c>
      <c r="D23" s="5">
        <v>1676</v>
      </c>
      <c r="E23" s="5">
        <v>8060</v>
      </c>
      <c r="F23" s="5">
        <v>8440</v>
      </c>
      <c r="G23" s="6">
        <f t="shared" si="0"/>
        <v>18180</v>
      </c>
    </row>
    <row r="24" spans="1:7">
      <c r="A24" s="1"/>
      <c r="B24" s="4">
        <v>1975</v>
      </c>
      <c r="C24" s="5">
        <v>3</v>
      </c>
      <c r="D24" s="5">
        <v>1397</v>
      </c>
      <c r="E24" s="5">
        <v>6450</v>
      </c>
      <c r="F24" s="5">
        <v>9335</v>
      </c>
      <c r="G24" s="6">
        <f t="shared" si="0"/>
        <v>17185</v>
      </c>
    </row>
    <row r="25" spans="1:7">
      <c r="A25" s="1"/>
      <c r="B25" s="4">
        <v>1976</v>
      </c>
      <c r="C25" s="5">
        <v>0</v>
      </c>
      <c r="D25" s="5">
        <v>1107</v>
      </c>
      <c r="E25" s="5">
        <v>5919</v>
      </c>
      <c r="F25" s="5">
        <v>9046</v>
      </c>
      <c r="G25" s="6">
        <f t="shared" si="0"/>
        <v>16072</v>
      </c>
    </row>
    <row r="26" spans="1:7">
      <c r="A26" s="1"/>
      <c r="B26" s="4">
        <v>1977</v>
      </c>
      <c r="C26" s="5">
        <v>0</v>
      </c>
      <c r="D26" s="5">
        <v>894</v>
      </c>
      <c r="E26" s="5">
        <v>5118</v>
      </c>
      <c r="F26" s="5">
        <v>10450</v>
      </c>
      <c r="G26" s="6">
        <f t="shared" si="0"/>
        <v>16462</v>
      </c>
    </row>
    <row r="27" spans="1:7">
      <c r="B27" s="4">
        <v>1978</v>
      </c>
      <c r="C27" s="5">
        <v>0</v>
      </c>
      <c r="D27" s="5">
        <v>829</v>
      </c>
      <c r="E27" s="5">
        <v>4641</v>
      </c>
      <c r="F27" s="5">
        <v>11348</v>
      </c>
      <c r="G27" s="6">
        <f t="shared" si="0"/>
        <v>16818</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timing</vt:lpstr>
      <vt:lpstr>original data</vt:lpstr>
    </vt:vector>
  </TitlesOfParts>
  <Company>TAU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Renana</dc:creator>
  <cp:lastModifiedBy>Maayan Malter</cp:lastModifiedBy>
  <dcterms:created xsi:type="dcterms:W3CDTF">2007-03-20T11:31:27Z</dcterms:created>
  <dcterms:modified xsi:type="dcterms:W3CDTF">2016-09-19T16:23:04Z</dcterms:modified>
</cp:coreProperties>
</file>